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ederaljusticebelgium-my.sharepoint.com/personal/kurt_helsen_just_fgov_be/Documents/Documents/#FRB MRK/"/>
    </mc:Choice>
  </mc:AlternateContent>
  <xr:revisionPtr revIDLastSave="14" documentId="8_{223F1EB3-9D4A-4E01-9D7C-0C6F0ACFBFBA}" xr6:coauthVersionLast="47" xr6:coauthVersionMax="47" xr10:uidLastSave="{D81D997B-F5FD-47E3-8B98-DBAEAEA9D689}"/>
  <bookViews>
    <workbookView xWindow="-120" yWindow="-120" windowWidth="29040" windowHeight="15840" activeTab="5" xr2:uid="{62FE75CA-66B7-41A2-8608-82430D7E9E42}"/>
  </bookViews>
  <sheets>
    <sheet name="Input parameters" sheetId="9" r:id="rId1"/>
    <sheet name="Hobin Classic 2025" sheetId="12" r:id="rId2"/>
    <sheet name="Uitgebreid VG+VO" sheetId="7" r:id="rId3"/>
    <sheet name="Uitgebreid VG" sheetId="8" r:id="rId4"/>
    <sheet name="Berekening verblijf" sheetId="5" r:id="rId5"/>
    <sheet name="IGAK 2025" sheetId="10" r:id="rId6"/>
    <sheet name="Vergelijking indien kindrek" sheetId="3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9" l="1"/>
  <c r="E60" i="12"/>
  <c r="Q56" i="8" l="1"/>
  <c r="K41" i="8"/>
  <c r="K12" i="7"/>
  <c r="C9" i="12"/>
  <c r="C13" i="12"/>
  <c r="E38" i="12"/>
  <c r="E12" i="7" s="1"/>
  <c r="C21" i="7" s="1"/>
  <c r="J58" i="10" l="1"/>
  <c r="J59" i="10"/>
  <c r="J60" i="10"/>
  <c r="J57" i="10"/>
  <c r="J54" i="10"/>
  <c r="J55" i="10"/>
  <c r="J56" i="10"/>
  <c r="J53" i="10"/>
  <c r="I14" i="12"/>
  <c r="R8" i="10"/>
  <c r="V8" i="10" s="1"/>
  <c r="S8" i="10"/>
  <c r="S9" i="10" s="1"/>
  <c r="S10" i="10" s="1"/>
  <c r="T8" i="10"/>
  <c r="T9" i="10" s="1"/>
  <c r="T10" i="10" s="1"/>
  <c r="T11" i="10" s="1"/>
  <c r="T12" i="10" s="1"/>
  <c r="T13" i="10" s="1"/>
  <c r="T14" i="10" s="1"/>
  <c r="U7" i="10"/>
  <c r="V7" i="10"/>
  <c r="E54" i="12"/>
  <c r="E14" i="8" s="1"/>
  <c r="E52" i="12"/>
  <c r="E12" i="8" s="1"/>
  <c r="E40" i="12"/>
  <c r="E14" i="7" s="1"/>
  <c r="C28" i="7" s="1"/>
  <c r="C20" i="12"/>
  <c r="C19" i="12"/>
  <c r="E51" i="12" s="1"/>
  <c r="E11" i="8" s="1"/>
  <c r="I18" i="12"/>
  <c r="I17" i="12"/>
  <c r="I13" i="12"/>
  <c r="I12" i="12"/>
  <c r="C12" i="12"/>
  <c r="I11" i="12"/>
  <c r="C11" i="12"/>
  <c r="I10" i="12"/>
  <c r="I9" i="12"/>
  <c r="I8" i="12"/>
  <c r="C8" i="12"/>
  <c r="I7" i="12"/>
  <c r="C7" i="12"/>
  <c r="C6" i="12"/>
  <c r="I48" i="10" s="1"/>
  <c r="P3" i="12"/>
  <c r="K56" i="8"/>
  <c r="Q43" i="8"/>
  <c r="K43" i="8"/>
  <c r="Q54" i="8"/>
  <c r="K54" i="8"/>
  <c r="Q41" i="8"/>
  <c r="Q55" i="7"/>
  <c r="K55" i="7"/>
  <c r="Q42" i="7"/>
  <c r="K42" i="7"/>
  <c r="Q53" i="7"/>
  <c r="K53" i="7"/>
  <c r="Q40" i="7"/>
  <c r="K40" i="7"/>
  <c r="C26" i="9"/>
  <c r="C14" i="12" l="1"/>
  <c r="C25" i="12"/>
  <c r="C10" i="12"/>
  <c r="C21" i="12"/>
  <c r="E37" i="12" s="1"/>
  <c r="E11" i="7" s="1"/>
  <c r="C15" i="12"/>
  <c r="C17" i="12" s="1"/>
  <c r="C26" i="12"/>
  <c r="C27" i="12" s="1"/>
  <c r="U8" i="10"/>
  <c r="R9" i="10"/>
  <c r="R10" i="10" s="1"/>
  <c r="S11" i="10"/>
  <c r="U10" i="10"/>
  <c r="R11" i="10"/>
  <c r="V10" i="10"/>
  <c r="V9" i="10"/>
  <c r="U9" i="10"/>
  <c r="I46" i="10" l="1"/>
  <c r="I47" i="10" s="1"/>
  <c r="C16" i="12"/>
  <c r="E34" i="12" s="1"/>
  <c r="E8" i="7" s="1"/>
  <c r="U11" i="10"/>
  <c r="S12" i="10"/>
  <c r="R12" i="10"/>
  <c r="V11" i="10"/>
  <c r="C14" i="3"/>
  <c r="H3" i="8"/>
  <c r="H3" i="7"/>
  <c r="C23" i="9"/>
  <c r="C24" i="9"/>
  <c r="C21" i="3"/>
  <c r="H15" i="3" s="1"/>
  <c r="H33" i="3" s="1"/>
  <c r="E37" i="8"/>
  <c r="Q27" i="8"/>
  <c r="K27" i="8"/>
  <c r="Q25" i="8"/>
  <c r="K25" i="8"/>
  <c r="Q14" i="8"/>
  <c r="K14" i="8"/>
  <c r="Q12" i="8"/>
  <c r="K12" i="8"/>
  <c r="Q27" i="7"/>
  <c r="Q25" i="7"/>
  <c r="K25" i="7"/>
  <c r="K27" i="7"/>
  <c r="Q14" i="7"/>
  <c r="Q12" i="7"/>
  <c r="K14" i="7"/>
  <c r="C15" i="9"/>
  <c r="C10" i="9"/>
  <c r="D16" i="5"/>
  <c r="E16" i="5"/>
  <c r="C18" i="5" l="1"/>
  <c r="D21" i="5" s="1"/>
  <c r="D23" i="5" s="1"/>
  <c r="C18" i="12"/>
  <c r="E35" i="12" s="1"/>
  <c r="E49" i="12" s="1"/>
  <c r="E9" i="8" s="1"/>
  <c r="C23" i="12"/>
  <c r="C22" i="3"/>
  <c r="H16" i="3" s="1"/>
  <c r="H34" i="3" s="1"/>
  <c r="C22" i="12"/>
  <c r="E53" i="12" s="1"/>
  <c r="V12" i="10"/>
  <c r="R13" i="10"/>
  <c r="U12" i="10"/>
  <c r="S13" i="10"/>
  <c r="E48" i="12"/>
  <c r="E8" i="8" s="1"/>
  <c r="C28" i="8"/>
  <c r="C54" i="8" s="1"/>
  <c r="C21" i="8"/>
  <c r="C46" i="8" s="1"/>
  <c r="L29" i="3"/>
  <c r="H17" i="3"/>
  <c r="E21" i="5" l="1"/>
  <c r="E23" i="5" s="1"/>
  <c r="C23" i="5" s="1"/>
  <c r="E25" i="5" s="1"/>
  <c r="E9" i="7"/>
  <c r="D62" i="12"/>
  <c r="C24" i="12"/>
  <c r="E39" i="12" s="1"/>
  <c r="E13" i="7" s="1"/>
  <c r="E13" i="8"/>
  <c r="K13" i="8" s="1"/>
  <c r="R14" i="10"/>
  <c r="V14" i="10" s="1"/>
  <c r="I49" i="10" s="1" a="1"/>
  <c r="I49" i="10" s="1"/>
  <c r="V13" i="10"/>
  <c r="U13" i="10"/>
  <c r="S14" i="10"/>
  <c r="U14" i="10" s="1"/>
  <c r="D61" i="12"/>
  <c r="K11" i="8"/>
  <c r="Q53" i="8"/>
  <c r="K24" i="8"/>
  <c r="K53" i="8"/>
  <c r="Q40" i="8"/>
  <c r="Q11" i="8"/>
  <c r="K40" i="8"/>
  <c r="Q24" i="8"/>
  <c r="C11" i="3"/>
  <c r="H12" i="3" s="1"/>
  <c r="D25" i="5" l="1"/>
  <c r="C25" i="5" s="1"/>
  <c r="Q13" i="8"/>
  <c r="K26" i="8"/>
  <c r="Q26" i="8"/>
  <c r="K42" i="8"/>
  <c r="Q42" i="8"/>
  <c r="K55" i="8"/>
  <c r="Q55" i="8"/>
  <c r="K53" i="10" a="1"/>
  <c r="K53" i="10" s="1"/>
  <c r="K6" i="8" s="1"/>
  <c r="K59" i="10" a="1"/>
  <c r="K59" i="10" s="1"/>
  <c r="K48" i="8" s="1"/>
  <c r="K56" i="10" a="1"/>
  <c r="K56" i="10" s="1"/>
  <c r="Q19" i="8" s="1"/>
  <c r="K55" i="10" a="1"/>
  <c r="K55" i="10" s="1"/>
  <c r="K19" i="8" s="1"/>
  <c r="K60" i="10" a="1"/>
  <c r="K60" i="10" s="1"/>
  <c r="Q48" i="8" s="1"/>
  <c r="K54" i="10" a="1"/>
  <c r="K54" i="10" s="1"/>
  <c r="Q6" i="8" s="1"/>
  <c r="K58" i="10" a="1"/>
  <c r="K58" i="10" s="1"/>
  <c r="Q35" i="8" s="1"/>
  <c r="K57" i="10" a="1"/>
  <c r="K57" i="10" s="1"/>
  <c r="K35" i="8" s="1"/>
  <c r="K13" i="7"/>
  <c r="Q41" i="7"/>
  <c r="K54" i="7"/>
  <c r="K41" i="7"/>
  <c r="Q26" i="7"/>
  <c r="K26" i="7"/>
  <c r="Q13" i="7"/>
  <c r="Q54" i="7"/>
  <c r="K11" i="7"/>
  <c r="K52" i="7"/>
  <c r="Q39" i="7"/>
  <c r="K24" i="7"/>
  <c r="Q11" i="7"/>
  <c r="K39" i="7"/>
  <c r="Q24" i="7"/>
  <c r="Q52" i="7"/>
  <c r="H30" i="3"/>
  <c r="L30" i="3" s="1"/>
  <c r="L12" i="3"/>
  <c r="Q19" i="7" l="1"/>
  <c r="K47" i="7"/>
  <c r="Q47" i="7"/>
  <c r="Q34" i="7"/>
  <c r="Q6" i="7"/>
  <c r="K19" i="7"/>
  <c r="K34" i="7"/>
  <c r="K6" i="7"/>
  <c r="L58" i="10"/>
  <c r="L54" i="10"/>
  <c r="L55" i="10"/>
  <c r="L59" i="10"/>
  <c r="L57" i="10"/>
  <c r="L60" i="10"/>
  <c r="L56" i="10"/>
  <c r="L53" i="10"/>
  <c r="K61" i="10"/>
  <c r="D38" i="8"/>
  <c r="Q50" i="8"/>
  <c r="K50" i="8"/>
  <c r="K21" i="8"/>
  <c r="Q37" i="8"/>
  <c r="Q21" i="8"/>
  <c r="Q8" i="8"/>
  <c r="K37" i="8"/>
  <c r="K36" i="7"/>
  <c r="K8" i="7"/>
  <c r="Q21" i="7"/>
  <c r="K21" i="7"/>
  <c r="Q8" i="7"/>
  <c r="K49" i="7"/>
  <c r="Q36" i="7"/>
  <c r="Q49" i="7"/>
  <c r="C12" i="3"/>
  <c r="H13" i="3" s="1"/>
  <c r="L13" i="3" s="1"/>
  <c r="K8" i="8"/>
  <c r="L19" i="7" l="1"/>
  <c r="L19" i="8"/>
  <c r="R6" i="7"/>
  <c r="R6" i="8"/>
  <c r="R19" i="8"/>
  <c r="R19" i="7"/>
  <c r="R48" i="8"/>
  <c r="R47" i="7"/>
  <c r="R35" i="8"/>
  <c r="R34" i="7"/>
  <c r="L6" i="8"/>
  <c r="L6" i="7"/>
  <c r="L35" i="8"/>
  <c r="L34" i="7"/>
  <c r="L47" i="7"/>
  <c r="L48" i="8"/>
  <c r="J14" i="12"/>
  <c r="E28" i="12"/>
  <c r="E46" i="12" s="1"/>
  <c r="E6" i="8" s="1"/>
  <c r="J9" i="12"/>
  <c r="J10" i="12"/>
  <c r="L61" i="10"/>
  <c r="J11" i="12"/>
  <c r="J13" i="12"/>
  <c r="J8" i="12"/>
  <c r="J7" i="12"/>
  <c r="J12" i="12"/>
  <c r="K9" i="8"/>
  <c r="Q51" i="8"/>
  <c r="K51" i="8"/>
  <c r="Q9" i="8"/>
  <c r="Q38" i="8"/>
  <c r="K22" i="8"/>
  <c r="K38" i="8"/>
  <c r="Q22" i="8"/>
  <c r="K9" i="7"/>
  <c r="Q22" i="7"/>
  <c r="Q50" i="7"/>
  <c r="K22" i="7"/>
  <c r="K50" i="7"/>
  <c r="Q37" i="7"/>
  <c r="K37" i="7"/>
  <c r="Q9" i="7"/>
  <c r="D39" i="8"/>
  <c r="H31" i="3"/>
  <c r="L31" i="3" s="1"/>
  <c r="J15" i="12" l="1"/>
  <c r="E32" i="12" l="1"/>
  <c r="E6" i="7" s="1"/>
  <c r="F28" i="12"/>
  <c r="C28" i="12" s="1"/>
  <c r="C29" i="12" l="1"/>
  <c r="F46" i="12"/>
  <c r="F6" i="8" s="1"/>
  <c r="F32" i="12"/>
  <c r="F6" i="7" s="1"/>
  <c r="C18" i="3" l="1"/>
  <c r="K10" i="3" s="1"/>
  <c r="K12" i="3" s="1"/>
  <c r="P13" i="3" s="1"/>
  <c r="C17" i="3"/>
  <c r="F10" i="3" s="1"/>
  <c r="F15" i="3" s="1"/>
  <c r="P11" i="3" s="1"/>
  <c r="C32" i="12"/>
  <c r="C46" i="12"/>
  <c r="D32" i="12"/>
  <c r="D6" i="7" s="1"/>
  <c r="D47" i="12" l="1"/>
  <c r="D7" i="8" s="1"/>
  <c r="C59" i="12"/>
  <c r="C60" i="12" s="1"/>
  <c r="C61" i="12" s="1"/>
  <c r="C51" i="12"/>
  <c r="C52" i="12" s="1"/>
  <c r="C39" i="12"/>
  <c r="C40" i="12" s="1"/>
  <c r="D33" i="12"/>
  <c r="D34" i="12" s="1"/>
  <c r="C37" i="12"/>
  <c r="C38" i="12" s="1"/>
  <c r="C6" i="8"/>
  <c r="I48" i="8" s="1"/>
  <c r="G11" i="3"/>
  <c r="G13" i="3" s="1"/>
  <c r="C6" i="7"/>
  <c r="K28" i="3"/>
  <c r="K29" i="3" s="1"/>
  <c r="K30" i="3" s="1"/>
  <c r="P31" i="3" s="1"/>
  <c r="K13" i="3"/>
  <c r="P20" i="3" s="1"/>
  <c r="K11" i="3"/>
  <c r="F28" i="3"/>
  <c r="F33" i="3" s="1"/>
  <c r="P29" i="3" s="1"/>
  <c r="F16" i="3"/>
  <c r="F17" i="3" s="1"/>
  <c r="P18" i="3" s="1"/>
  <c r="C53" i="12"/>
  <c r="C54" i="12" s="1"/>
  <c r="C13" i="7" l="1"/>
  <c r="C27" i="7" s="1"/>
  <c r="D7" i="7"/>
  <c r="D48" i="12"/>
  <c r="D49" i="12"/>
  <c r="D9" i="8" s="1"/>
  <c r="I35" i="8"/>
  <c r="J36" i="8" s="1"/>
  <c r="O48" i="8"/>
  <c r="P49" i="8" s="1"/>
  <c r="C11" i="8"/>
  <c r="C12" i="8" s="1"/>
  <c r="I6" i="8"/>
  <c r="I13" i="8" s="1"/>
  <c r="I14" i="8" s="1"/>
  <c r="C13" i="8"/>
  <c r="C14" i="8" s="1"/>
  <c r="O6" i="8"/>
  <c r="O13" i="8" s="1"/>
  <c r="O14" i="8" s="1"/>
  <c r="I19" i="8"/>
  <c r="J20" i="8" s="1"/>
  <c r="J21" i="8" s="1"/>
  <c r="O19" i="8"/>
  <c r="O26" i="8" s="1"/>
  <c r="O27" i="8" s="1"/>
  <c r="O35" i="8"/>
  <c r="P36" i="8" s="1"/>
  <c r="G12" i="3"/>
  <c r="F19" i="3" s="1"/>
  <c r="F21" i="3" s="1"/>
  <c r="F34" i="3"/>
  <c r="F35" i="3" s="1"/>
  <c r="P36" i="3" s="1"/>
  <c r="C14" i="7"/>
  <c r="C36" i="8"/>
  <c r="C37" i="8" s="1"/>
  <c r="C39" i="8" s="1"/>
  <c r="C56" i="8" s="1"/>
  <c r="J49" i="8"/>
  <c r="C11" i="7"/>
  <c r="C20" i="7" s="1"/>
  <c r="C12" i="7"/>
  <c r="I6" i="7"/>
  <c r="O34" i="7"/>
  <c r="O39" i="7" s="1"/>
  <c r="O40" i="7" s="1"/>
  <c r="I19" i="7"/>
  <c r="I26" i="7" s="1"/>
  <c r="I27" i="7" s="1"/>
  <c r="O47" i="7"/>
  <c r="P48" i="7" s="1"/>
  <c r="P49" i="7" s="1"/>
  <c r="I47" i="7"/>
  <c r="J48" i="7" s="1"/>
  <c r="J49" i="7" s="1"/>
  <c r="I34" i="7"/>
  <c r="O19" i="7"/>
  <c r="P20" i="7" s="1"/>
  <c r="P22" i="7" s="1"/>
  <c r="O6" i="7"/>
  <c r="K31" i="3"/>
  <c r="P38" i="3" s="1"/>
  <c r="G29" i="3"/>
  <c r="G30" i="3" s="1"/>
  <c r="F37" i="3" s="1"/>
  <c r="P37" i="3" s="1"/>
  <c r="P40" i="3" s="1"/>
  <c r="F20" i="3"/>
  <c r="P12" i="3" s="1"/>
  <c r="P15" i="3" s="1"/>
  <c r="D8" i="7"/>
  <c r="D35" i="12"/>
  <c r="D9" i="7" s="1"/>
  <c r="C62" i="12"/>
  <c r="C27" i="8" l="1"/>
  <c r="C53" i="8" s="1"/>
  <c r="I26" i="8"/>
  <c r="I27" i="8" s="1"/>
  <c r="J22" i="8"/>
  <c r="C20" i="8"/>
  <c r="C45" i="8" s="1"/>
  <c r="I42" i="8"/>
  <c r="I43" i="8" s="1"/>
  <c r="O42" i="8"/>
  <c r="O43" i="8" s="1"/>
  <c r="I24" i="8"/>
  <c r="I25" i="8" s="1"/>
  <c r="I29" i="8" s="1"/>
  <c r="I40" i="8"/>
  <c r="I41" i="8" s="1"/>
  <c r="O40" i="8"/>
  <c r="O41" i="8" s="1"/>
  <c r="O24" i="8"/>
  <c r="O25" i="8" s="1"/>
  <c r="P20" i="8"/>
  <c r="P21" i="8" s="1"/>
  <c r="J7" i="8"/>
  <c r="J9" i="8" s="1"/>
  <c r="I11" i="8"/>
  <c r="I12" i="8" s="1"/>
  <c r="P19" i="3"/>
  <c r="P22" i="3" s="1"/>
  <c r="F39" i="3"/>
  <c r="G31" i="3"/>
  <c r="F38" i="3" s="1"/>
  <c r="P30" i="3" s="1"/>
  <c r="P33" i="3" s="1"/>
  <c r="C56" i="12"/>
  <c r="E56" i="12" s="1"/>
  <c r="D8" i="8"/>
  <c r="C16" i="8" s="1"/>
  <c r="O53" i="8"/>
  <c r="O54" i="8" s="1"/>
  <c r="O55" i="8"/>
  <c r="O56" i="8" s="1"/>
  <c r="O11" i="8"/>
  <c r="O12" i="8" s="1"/>
  <c r="P21" i="7"/>
  <c r="I54" i="7"/>
  <c r="I55" i="7" s="1"/>
  <c r="J50" i="7"/>
  <c r="O24" i="7"/>
  <c r="O25" i="7" s="1"/>
  <c r="J20" i="7"/>
  <c r="J21" i="7" s="1"/>
  <c r="O52" i="7"/>
  <c r="O53" i="7" s="1"/>
  <c r="O57" i="7" s="1"/>
  <c r="I53" i="8"/>
  <c r="I54" i="8" s="1"/>
  <c r="O54" i="7"/>
  <c r="O55" i="7" s="1"/>
  <c r="C38" i="8"/>
  <c r="C48" i="8" s="1"/>
  <c r="P35" i="7"/>
  <c r="P37" i="7" s="1"/>
  <c r="O41" i="7"/>
  <c r="O42" i="7" s="1"/>
  <c r="I55" i="8"/>
  <c r="I56" i="8" s="1"/>
  <c r="P7" i="8"/>
  <c r="P9" i="8" s="1"/>
  <c r="I24" i="7"/>
  <c r="I25" i="7" s="1"/>
  <c r="P50" i="7"/>
  <c r="J35" i="7"/>
  <c r="I41" i="7"/>
  <c r="I42" i="7" s="1"/>
  <c r="I13" i="7"/>
  <c r="I14" i="7" s="1"/>
  <c r="I11" i="7"/>
  <c r="I12" i="7" s="1"/>
  <c r="J7" i="7"/>
  <c r="I39" i="7"/>
  <c r="I40" i="7" s="1"/>
  <c r="I52" i="7"/>
  <c r="I53" i="7" s="1"/>
  <c r="I57" i="7" s="1"/>
  <c r="O26" i="7"/>
  <c r="O27" i="7" s="1"/>
  <c r="C42" i="12"/>
  <c r="E42" i="12" s="1"/>
  <c r="C16" i="7"/>
  <c r="C22" i="7" s="1"/>
  <c r="C29" i="7" s="1"/>
  <c r="F22" i="3"/>
  <c r="P51" i="8"/>
  <c r="P50" i="8"/>
  <c r="J38" i="8"/>
  <c r="J37" i="8"/>
  <c r="J51" i="8"/>
  <c r="J50" i="8"/>
  <c r="P38" i="8"/>
  <c r="P37" i="8"/>
  <c r="P7" i="7"/>
  <c r="C23" i="7" l="1"/>
  <c r="C24" i="7" s="1"/>
  <c r="O45" i="8"/>
  <c r="I45" i="8"/>
  <c r="O29" i="8"/>
  <c r="P22" i="8"/>
  <c r="J8" i="8"/>
  <c r="I16" i="8" s="1"/>
  <c r="O58" i="8"/>
  <c r="C22" i="8"/>
  <c r="E16" i="8"/>
  <c r="C30" i="7"/>
  <c r="C31" i="7" s="1"/>
  <c r="E16" i="7"/>
  <c r="F40" i="3"/>
  <c r="O29" i="7"/>
  <c r="P36" i="7"/>
  <c r="O44" i="7" s="1"/>
  <c r="I29" i="7"/>
  <c r="J22" i="7"/>
  <c r="I58" i="8"/>
  <c r="P8" i="8"/>
  <c r="O16" i="8" s="1"/>
  <c r="J9" i="7"/>
  <c r="J8" i="7"/>
  <c r="I16" i="7" s="1"/>
  <c r="J37" i="7"/>
  <c r="J36" i="7"/>
  <c r="I44" i="7" s="1"/>
  <c r="O13" i="7"/>
  <c r="O14" i="7" s="1"/>
  <c r="P9" i="7"/>
  <c r="P8" i="7"/>
  <c r="O11" i="7"/>
  <c r="O12" i="7" s="1"/>
  <c r="C47" i="8" l="1"/>
  <c r="C49" i="8" s="1"/>
  <c r="C50" i="8" s="1"/>
  <c r="C29" i="8"/>
  <c r="C23" i="8"/>
  <c r="C24" i="8" s="1"/>
  <c r="O16" i="7"/>
  <c r="C30" i="8" l="1"/>
  <c r="C31" i="8" s="1"/>
  <c r="C55" i="8"/>
  <c r="C57" i="8" s="1"/>
  <c r="C5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<sst xmlns="http://schemas.openxmlformats.org/spreadsheetml/2006/main" count="554" uniqueCount="246">
  <si>
    <t>PARAMETERS</t>
  </si>
  <si>
    <t>EXTRA PARAMETERS - LEEFTIJD KINDEREN</t>
  </si>
  <si>
    <t>Aantal kinderen</t>
  </si>
  <si>
    <t>Kinderen</t>
  </si>
  <si>
    <t>Leeftijd</t>
  </si>
  <si>
    <t>INFO</t>
  </si>
  <si>
    <t>leefloon alleenstaande</t>
  </si>
  <si>
    <t>leefloon samenwonend = 50%</t>
  </si>
  <si>
    <t>elke post even duur - los van buitengewone kosten</t>
  </si>
  <si>
    <t>verblijfsgebonden</t>
  </si>
  <si>
    <t>Buitengewone</t>
  </si>
  <si>
    <t>OP</t>
  </si>
  <si>
    <t>OG</t>
  </si>
  <si>
    <t>apart te verrekenen</t>
  </si>
  <si>
    <t>week/week</t>
  </si>
  <si>
    <t>08/06 + 1/2 vak</t>
  </si>
  <si>
    <t>09/05 + 1/2 vak</t>
  </si>
  <si>
    <t>10/04 + 1/2 vak</t>
  </si>
  <si>
    <t>11/03 + 1/2 vak</t>
  </si>
  <si>
    <t>WE + 1/2 vak</t>
  </si>
  <si>
    <t xml:space="preserve">Kosten kind(eren)   </t>
  </si>
  <si>
    <t>BEREKENING</t>
  </si>
  <si>
    <t>bruto kost</t>
  </si>
  <si>
    <t>netto kost</t>
  </si>
  <si>
    <t>Voordeel tankkaart (forf)</t>
  </si>
  <si>
    <t>OG moet betalen</t>
  </si>
  <si>
    <t>Voordeel maaltijdcheques (forf)</t>
  </si>
  <si>
    <t>OP moet betalen</t>
  </si>
  <si>
    <t>OP betaalt</t>
  </si>
  <si>
    <t>OG betaalt bruto</t>
  </si>
  <si>
    <t>OG betaalt netto</t>
  </si>
  <si>
    <t>per kind</t>
  </si>
  <si>
    <t>PROEF</t>
  </si>
  <si>
    <t xml:space="preserve">  °  in natura</t>
  </si>
  <si>
    <t>Het weze % van netto  kost</t>
  </si>
  <si>
    <t xml:space="preserve">  ° in natura</t>
  </si>
  <si>
    <t>In  totaal betaald</t>
  </si>
  <si>
    <t>INDIEN ELK VERBLIJFSGEBONDEN KOSTEN</t>
  </si>
  <si>
    <t>KINDREKENING VOOR</t>
  </si>
  <si>
    <t xml:space="preserve">   ° verblijfsoverstijgende kosten</t>
  </si>
  <si>
    <t xml:space="preserve">   ° buitengewone kosten</t>
  </si>
  <si>
    <t xml:space="preserve">Berekening verschil kinderbijslag ontvangen </t>
  </si>
  <si>
    <t>Verblijfsgebonden kosten met kinderbijslag</t>
  </si>
  <si>
    <t>Verblijfsoverstijgende kosten zonder kinderbijslag</t>
  </si>
  <si>
    <t>Totaal</t>
  </si>
  <si>
    <t>of kinderbijslag op kindrekening</t>
  </si>
  <si>
    <t>Verhouding inkomsten</t>
  </si>
  <si>
    <t xml:space="preserve">OP betaalt </t>
  </si>
  <si>
    <t>netto-kost</t>
  </si>
  <si>
    <t xml:space="preserve">  Verblijfsgebonden</t>
  </si>
  <si>
    <t xml:space="preserve">   Betaalde/ontvangen onderhoudsgeld</t>
  </si>
  <si>
    <t>OG betaalt</t>
  </si>
  <si>
    <t xml:space="preserve">   Verblijfsoverstijgend</t>
  </si>
  <si>
    <t>Kinderbijslag (onder aftrek steun armoede)</t>
  </si>
  <si>
    <t xml:space="preserve">   Vrije correctie</t>
  </si>
  <si>
    <t>Geraamde kosten</t>
  </si>
  <si>
    <t>Verblijfsgebonden kosten</t>
  </si>
  <si>
    <t>Verblijfsoverstijgende kosten</t>
  </si>
  <si>
    <t>OP betaalt aan OG</t>
  </si>
  <si>
    <t xml:space="preserve">   Ontvangen/betaalde onderhoudsgeld</t>
  </si>
  <si>
    <t>Verblijf</t>
  </si>
  <si>
    <t>OG ontvangt van OP</t>
  </si>
  <si>
    <t>OP ontvangt van OG</t>
  </si>
  <si>
    <t>OG betaalt aan OP</t>
  </si>
  <si>
    <t>Verblijfsgebonden kosten zonder kinderbijslag</t>
  </si>
  <si>
    <t>Verblijfsoverstijgende kosten met kinderbijslag</t>
  </si>
  <si>
    <t xml:space="preserve">   Ontvangen onderhoudsgeld</t>
  </si>
  <si>
    <t>Berekening percentage verblijf</t>
  </si>
  <si>
    <t>Aantal dagen</t>
  </si>
  <si>
    <t>schoolregeling</t>
  </si>
  <si>
    <t>In vakantie</t>
  </si>
  <si>
    <t>Zomervakantie</t>
  </si>
  <si>
    <t xml:space="preserve">  (aantal weken 8-9)</t>
  </si>
  <si>
    <t>Paasvakantie</t>
  </si>
  <si>
    <t>Kerstvakantie</t>
  </si>
  <si>
    <t>Krokusvakantie</t>
  </si>
  <si>
    <t>Herfstvakantie</t>
  </si>
  <si>
    <t>Subtotaal 1</t>
  </si>
  <si>
    <t>Schoolregeling</t>
  </si>
  <si>
    <t>Op 14 dagen</t>
  </si>
  <si>
    <t>Subtotaal 2</t>
  </si>
  <si>
    <t>Percentage</t>
  </si>
  <si>
    <t>Categorie</t>
  </si>
  <si>
    <t>INPUT PARAMETERS EN INFO</t>
  </si>
  <si>
    <t xml:space="preserve">BEREKENING KIND 1 </t>
  </si>
  <si>
    <t>BEREKENING KIND 2</t>
  </si>
  <si>
    <t xml:space="preserve">Verblijfsregeling kinderen </t>
  </si>
  <si>
    <t>kosten</t>
  </si>
  <si>
    <t xml:space="preserve">Op kindrekening </t>
  </si>
  <si>
    <t>Inkomstengegevens ouder 1</t>
  </si>
  <si>
    <t>Inkomstengegevens ouder 2</t>
  </si>
  <si>
    <t>ouder 2 moet betalen</t>
  </si>
  <si>
    <t>ouder 1 moet betalen</t>
  </si>
  <si>
    <t>ouder 1 betaalt bruto</t>
  </si>
  <si>
    <t>ouder 1 betaalt netto</t>
  </si>
  <si>
    <t>Ontvangen door ouder 1</t>
  </si>
  <si>
    <t>Ontvangen door ouder 2</t>
  </si>
  <si>
    <t>ouder 2 betaalt netto</t>
  </si>
  <si>
    <t>ouder 2 betaalt bruto</t>
  </si>
  <si>
    <t>totaal</t>
  </si>
  <si>
    <t xml:space="preserve">BEREKENING KIND 3 </t>
  </si>
  <si>
    <t>BEREKENING KIND 4</t>
  </si>
  <si>
    <t>INFO OMTRENT DE VERBLIJFSOVERSTIJGENDE KOSTEN</t>
  </si>
  <si>
    <t xml:space="preserve">  °  min groeipakket</t>
  </si>
  <si>
    <t xml:space="preserve">  ° min groeipakket</t>
  </si>
  <si>
    <t>PROEF VERBLIJFSGEBONDEN KOSTEN</t>
  </si>
  <si>
    <t>PROEF VERBLIJFSGEBONDEN EN VERBLIJFSOVERSTIJGENDE KOSTEN</t>
  </si>
  <si>
    <t xml:space="preserve">   ° bijdrage verblijfsoverstijgend</t>
  </si>
  <si>
    <t xml:space="preserve">Het weze % </t>
  </si>
  <si>
    <t>Ouder 1</t>
  </si>
  <si>
    <t>Ouder 2</t>
  </si>
  <si>
    <t>Groeipakket (exclusief sociale toeslag)</t>
  </si>
  <si>
    <t>2.B. INFO OMTRENT DE VERBLIJFSOVERSTIJGENDE KOSTEN AFZONDERLIJK TE VERREKENEN</t>
  </si>
  <si>
    <t>Worden enkel de buitengewone kosten apart afgerekend, dan leest u hier de onderhoudsbijdrage die</t>
  </si>
  <si>
    <t>Worden zowel de buitengewone kosten als de (gewone) verblijfsoverstijgende kosten apart afgerekend</t>
  </si>
  <si>
    <t>dient als correctie voor én de verblijfsgebonden én de (gewone) verblijfsoverstijgende kosten</t>
  </si>
  <si>
    <t xml:space="preserve"> kosten</t>
  </si>
  <si>
    <t xml:space="preserve">of via een kindrekening betaald dan leest u hier de onderhoudsbijdrage als correctie van de verblijfsgebonden </t>
  </si>
  <si>
    <t>Gemiddeld inkomen per maand</t>
  </si>
  <si>
    <t xml:space="preserve">Bijdrage in natura ouder 1 in de verblijfsgebonden kosten </t>
  </si>
  <si>
    <t>Bijdrage in natura ouder 1 in de verblijfsoverstijgende kosten</t>
  </si>
  <si>
    <t>Bijdrage in natura ouder 2 in de verblijfsgebonden kosten</t>
  </si>
  <si>
    <t>Bijdrage in natura ouder 2 in de verblijfsoverstijgende kosten</t>
  </si>
  <si>
    <t>bij ouder 1</t>
  </si>
  <si>
    <t>bij ouder 2</t>
  </si>
  <si>
    <t>ouder 1</t>
  </si>
  <si>
    <t>ouder 2</t>
  </si>
  <si>
    <t>Gemiddeld inkomen ouder 1</t>
  </si>
  <si>
    <t>Overblijvende middelen ouder 1</t>
  </si>
  <si>
    <t>Gemiddeld inkomen ouder 2</t>
  </si>
  <si>
    <t>Overblijvende middelen ouder 2</t>
  </si>
  <si>
    <t>Aandeel ouder 1 in inkomen</t>
  </si>
  <si>
    <t>Aandeel ouder 1 in overblijvende middelen</t>
  </si>
  <si>
    <t>Aandeel ouder 2 in inkomen</t>
  </si>
  <si>
    <t>Aandeel ouder 2 in overblijvende middelen</t>
  </si>
  <si>
    <t>Bijdrage in natura ouder 1 verblijfsgebonden kost obv verblijf (= 1/2)</t>
  </si>
  <si>
    <t>Totale bijdrage in natura ouder 1</t>
  </si>
  <si>
    <t>Totale bijdrage in natura ouder 2</t>
  </si>
  <si>
    <t>ouder 1 dient te betalen</t>
  </si>
  <si>
    <t>ouder 2 dient te betalen</t>
  </si>
  <si>
    <t>ouder 1 betaalt in totaal</t>
  </si>
  <si>
    <t>ouder 2 betaalt in totaal</t>
  </si>
  <si>
    <t>Wanneer enkel het totaalbedrag van het groeipakket gekend is, zonder de onderverdeling per kind, wordt aangeraden dit</t>
  </si>
  <si>
    <t xml:space="preserve">totaalbedrag te delen door het aantal kinderen. Wanneer dit totaalbedrag ook berekend werd met inbegrip van kinderen </t>
  </si>
  <si>
    <t>die niet onder de onderhoudsplicht vallen van de andere ouder, wordt aangeraden dit totaalbedrag te delen door het totaal</t>
  </si>
  <si>
    <t>aantal kinderen, en vervolgens enkel de bedragen in rekening te brengen van die kinderen waarover de berekening handelt.</t>
  </si>
  <si>
    <t>Voordeel wagen (forf)</t>
  </si>
  <si>
    <t>https://www.mi-is.be/nl/tools-ocmw/bedragen-equivalent-leefloon</t>
  </si>
  <si>
    <t>BEREKENING KIND 5</t>
  </si>
  <si>
    <t>BEREKENING KIND 6</t>
  </si>
  <si>
    <t>BEREKENING KIND 7</t>
  </si>
  <si>
    <t>BEREKENING KIND 8</t>
  </si>
  <si>
    <t xml:space="preserve">BEREKENING KIND 7 </t>
  </si>
  <si>
    <t>Kost kind</t>
  </si>
  <si>
    <t xml:space="preserve"> </t>
  </si>
  <si>
    <t>Gemiddeld aandeel per kind in het gezinsbudget</t>
  </si>
  <si>
    <t>Netto gezinsinkomen (groeipakket inbegrepen)</t>
  </si>
  <si>
    <t>≤ 2000 euro/maand</t>
  </si>
  <si>
    <t>1 kind in het gezin</t>
  </si>
  <si>
    <t>2 kinderen in het gezin</t>
  </si>
  <si>
    <t>3 kinderen in het gezin</t>
  </si>
  <si>
    <t>4 kinderen in het gezin</t>
  </si>
  <si>
    <t>5 kinderen in het gezin</t>
  </si>
  <si>
    <t>6 kinderen in het gezin</t>
  </si>
  <si>
    <t>7 kinderen in het gezin</t>
  </si>
  <si>
    <t>8 kinderen in het gezin</t>
  </si>
  <si>
    <t>aandeel is gemid.: 17,00%</t>
  </si>
  <si>
    <t>aandeel is gemid.: 16,75%</t>
  </si>
  <si>
    <t>aandeel is gemid.: 16,50%</t>
  </si>
  <si>
    <t>aandeel is gemid.: 12,03%</t>
  </si>
  <si>
    <t>aandeel is gemid.: 11,85%</t>
  </si>
  <si>
    <t>jaar</t>
  </si>
  <si>
    <t>jaar of meer</t>
  </si>
  <si>
    <t>Totale gezinsinkomen   (max 10.000,00 EUR)</t>
  </si>
  <si>
    <t>2001 tot ≤ 4000 euro/maand</t>
  </si>
  <si>
    <t>Leeftijd Kinderen</t>
  </si>
  <si>
    <t>&gt; 8000 euro/maand</t>
  </si>
  <si>
    <t>≥ 2001 tot ≤ 4000 euro/maand</t>
  </si>
  <si>
    <t>≥ 4001 tot ≤ 6000 euro/maand</t>
  </si>
  <si>
    <t>≥ 6001 tot ≤ 8000 euro/maand</t>
  </si>
  <si>
    <t>Kolom</t>
  </si>
  <si>
    <t xml:space="preserve">  CAT       #kind</t>
  </si>
  <si>
    <t>4001 tot ≤ 6000 euro/maand</t>
  </si>
  <si>
    <t>6001 tot ≤ 8000 euro/maand</t>
  </si>
  <si>
    <t>Tabel_Categorieën</t>
  </si>
  <si>
    <t>uit Tabel_Categorieën</t>
  </si>
  <si>
    <t>Tabel_KolomBepaler</t>
  </si>
  <si>
    <t>uit Tabel_KolomBepaler</t>
  </si>
  <si>
    <t>='Hobin Classic 2025'!C33</t>
  </si>
  <si>
    <t>='Hobin Classic 2025'!$C$12</t>
  </si>
  <si>
    <t xml:space="preserve"> IGAK-tabel (update 2025)</t>
  </si>
  <si>
    <t xml:space="preserve">Gegevens kinderen </t>
  </si>
  <si>
    <t>aandeel is gemid.: 12,21%</t>
  </si>
  <si>
    <t>aandeel is gemid.: 10,55%</t>
  </si>
  <si>
    <t>aandeel is gemid.: 10,40%</t>
  </si>
  <si>
    <t>aandeel is gemid.: 10,24%</t>
  </si>
  <si>
    <t>aandeel is gemid.: 9,82%</t>
  </si>
  <si>
    <t>aandeel is gemid.: 9,67%</t>
  </si>
  <si>
    <t>aandeel is gemid.: 9,53%</t>
  </si>
  <si>
    <t>aandeel is gemid.: 9,30%</t>
  </si>
  <si>
    <t>aandeel is gemid.: 9,16%</t>
  </si>
  <si>
    <t>aandeel is gemid.: 9,03%</t>
  </si>
  <si>
    <t>aandeel is gemid.: 8,90%</t>
  </si>
  <si>
    <t>aandeel is gemid.: 8,77%</t>
  </si>
  <si>
    <t>aandeel is gemid.: 8,63%</t>
  </si>
  <si>
    <t>aandeel is gemid.: 8,58%</t>
  </si>
  <si>
    <t>aandeel is gemid.: 8,45%</t>
  </si>
  <si>
    <t>aandeel is gemid.: 8,33%</t>
  </si>
  <si>
    <t>aandeel is gemid.: 8,32%</t>
  </si>
  <si>
    <t>aandeel is gemid.: 8,20%</t>
  </si>
  <si>
    <t>aandeel is gemid.: 8,07%</t>
  </si>
  <si>
    <t>Niet-samendrukbare kosten</t>
  </si>
  <si>
    <t>(Min) niet-samendrukbare kosten ouder 1</t>
  </si>
  <si>
    <t>1. BEREKENING ONDERHOUDSBIJDRAGE VOOR VERBLIJFSGEBONDEN ÉN VERBLIJFSOVERSTIJGENDE KOSTEN</t>
  </si>
  <si>
    <t>2.A. BEREKENING ONDERHOUDSBIJDRAGE VOOR ENKEL VERBLIJFSGEBONDEN KOSTEN</t>
  </si>
  <si>
    <t>(Plus) sociale toeslag groeipakket</t>
  </si>
  <si>
    <t>BEREKENING ONDERHOUDSBIJDRAGE VOOR VERBLIJFSGEBONDEN ÉN VERBLIJFSOVERSTIJGENDE KOSTEN</t>
  </si>
  <si>
    <t>Onderhoudsbijdrage ouder 1 betalen aan (+) of ontvangen van (-) ouder 2</t>
  </si>
  <si>
    <t>Onderhoudsbijdrage</t>
  </si>
  <si>
    <t>BEREKENING ONDERHOUDSBIJDRAGE VOOR ENKEL VERBLIJFSGEBONDEN KOSTEN</t>
  </si>
  <si>
    <t xml:space="preserve">   ° plus/min onderhoudsbijdrage</t>
  </si>
  <si>
    <t xml:space="preserve">   ° plus/min onderhoudsbijrage</t>
  </si>
  <si>
    <t>Leeftijd kind 1 / Leeftijd kind 5</t>
  </si>
  <si>
    <t>Leeftijd kind 2 / Leeftijd kind 6</t>
  </si>
  <si>
    <t>Leeftijd kind 3 / Leeftijd kind 7</t>
  </si>
  <si>
    <t>Leeftijd kind 4 / Leeftijd kind 8</t>
  </si>
  <si>
    <t xml:space="preserve">Sociale toeslag groeipakket </t>
  </si>
  <si>
    <t>Kind 1 / Kind 5</t>
  </si>
  <si>
    <t>Kind 2 / Kind 6</t>
  </si>
  <si>
    <t>Kind 3 / Kind 7</t>
  </si>
  <si>
    <t>Kind 4 / Kind 8</t>
  </si>
  <si>
    <t>Vul hier enkel het ontvangen groeipakket in, niet de ontvangen sociale toeslag(en)</t>
  </si>
  <si>
    <t>Wenst u geen aparte berekening per kind, dan kan u het groeipakket integraal aangeven onder kind 1</t>
  </si>
  <si>
    <t>buitengewone</t>
  </si>
  <si>
    <t>Totale bedrag groeipakket inclusief sociale toeslag</t>
  </si>
  <si>
    <t>Totale bedrag groeipakket zonder sociale toeslag</t>
  </si>
  <si>
    <t>Wanneer het verschil met het inkomen te klein is (minder dan 40% verschil ) wordt afgeraden om met deze forfaitaire kost te werken</t>
  </si>
  <si>
    <t>niet-samendrukbare kost alleenstaande</t>
  </si>
  <si>
    <t>niet-samendrukbare samenwonende = 50%</t>
  </si>
  <si>
    <t>(Min) niet-samendrukbare kosten ouder 2</t>
  </si>
  <si>
    <t>Bijdrage in natura ouder 2 verblijfsgebonden kost obv verblijf (= 1/2)</t>
  </si>
  <si>
    <r>
      <t xml:space="preserve">Totale gezinsinkomen </t>
    </r>
    <r>
      <rPr>
        <sz val="10"/>
        <color theme="1"/>
        <rFont val="Calibri"/>
        <family val="2"/>
        <scheme val="minor"/>
      </rPr>
      <t xml:space="preserve"> (voor berekening kinderkost begrensd op 10.000,00 EUR)</t>
    </r>
  </si>
  <si>
    <t>Bijdrage in natura ouder 1 verblijfsoverstijgende kost (=1/2)</t>
  </si>
  <si>
    <t>Bijdrage in natura ouder 2 verblijfsoverstijgende kost (=1/2)</t>
  </si>
  <si>
    <t>verblijfsoverstijgende</t>
  </si>
  <si>
    <t>update leefloon 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</si>
</sst>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€&quot;\ #,##0.00;[Red]&quot;€&quot;\ \-#,##0.00"/>
    <numFmt numFmtId="165" formatCode="_ * #,##0.00_ ;_ * \-#,##0.00_ ;_ * &quot;-&quot;??_ ;_ @_ "/>
    <numFmt numFmtId="166" formatCode="&quot;€&quot;\ #,##0.00"/>
    <numFmt numFmtId="167" formatCode="#,##0.00\ _€"/>
    <numFmt numFmtId="168" formatCode="#,##0.00\ &quot;€&quot;"/>
    <numFmt numFmtId="169" formatCode="&quot;kind &quot;#"/>
    <numFmt numFmtId="170" formatCode="&quot;CAT &quot;#"/>
  </numFmts>
  <fonts count="3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u/>
      <sz val="1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8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u/>
      <sz val="8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auto="1"/>
      </diagonal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ck">
        <color auto="1"/>
      </top>
      <bottom/>
      <diagonal/>
    </border>
  </borders>
  <cellStyleXfs count="7">
    <xf numFmtId="0" fontId="0" fillId="0" borderId="0"/>
    <xf numFmtId="9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8" fillId="0" borderId="0" applyFont="0" applyFill="0" applyBorder="0" applyAlignment="0" applyProtection="0"/>
  </cellStyleXfs>
  <cellXfs count="31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66" fontId="0" fillId="0" borderId="0" xfId="0" applyNumberFormat="1"/>
    <xf numFmtId="9" fontId="0" fillId="0" borderId="0" xfId="0" applyNumberFormat="1"/>
    <xf numFmtId="166" fontId="2" fillId="0" borderId="0" xfId="0" applyNumberFormat="1" applyFont="1"/>
    <xf numFmtId="0" fontId="0" fillId="0" borderId="7" xfId="0" applyBorder="1"/>
    <xf numFmtId="0" fontId="0" fillId="0" borderId="0" xfId="0" applyAlignment="1">
      <alignment horizontal="center"/>
    </xf>
    <xf numFmtId="0" fontId="2" fillId="0" borderId="4" xfId="0" applyFont="1" applyBorder="1"/>
    <xf numFmtId="0" fontId="2" fillId="0" borderId="1" xfId="0" applyFont="1" applyBorder="1"/>
    <xf numFmtId="0" fontId="2" fillId="0" borderId="3" xfId="0" applyFont="1" applyBorder="1"/>
    <xf numFmtId="10" fontId="0" fillId="0" borderId="5" xfId="0" applyNumberFormat="1" applyBorder="1"/>
    <xf numFmtId="166" fontId="0" fillId="0" borderId="5" xfId="0" applyNumberFormat="1" applyBorder="1"/>
    <xf numFmtId="166" fontId="2" fillId="0" borderId="5" xfId="0" applyNumberFormat="1" applyFont="1" applyBorder="1"/>
    <xf numFmtId="0" fontId="10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8" xfId="0" applyBorder="1"/>
    <xf numFmtId="0" fontId="0" fillId="0" borderId="3" xfId="0" applyBorder="1"/>
    <xf numFmtId="0" fontId="2" fillId="3" borderId="1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3" borderId="8" xfId="0" applyFont="1" applyFill="1" applyBorder="1"/>
    <xf numFmtId="0" fontId="2" fillId="4" borderId="1" xfId="0" applyFont="1" applyFill="1" applyBorder="1"/>
    <xf numFmtId="0" fontId="2" fillId="4" borderId="3" xfId="0" applyFont="1" applyFill="1" applyBorder="1"/>
    <xf numFmtId="0" fontId="2" fillId="0" borderId="0" xfId="0" applyFont="1"/>
    <xf numFmtId="0" fontId="2" fillId="0" borderId="2" xfId="0" applyFont="1" applyBorder="1"/>
    <xf numFmtId="0" fontId="2" fillId="4" borderId="6" xfId="0" applyFont="1" applyFill="1" applyBorder="1"/>
    <xf numFmtId="0" fontId="0" fillId="4" borderId="8" xfId="0" applyFill="1" applyBorder="1"/>
    <xf numFmtId="0" fontId="5" fillId="0" borderId="4" xfId="0" applyFont="1" applyBorder="1"/>
    <xf numFmtId="9" fontId="1" fillId="0" borderId="5" xfId="0" applyNumberFormat="1" applyFont="1" applyBorder="1"/>
    <xf numFmtId="9" fontId="0" fillId="0" borderId="5" xfId="0" applyNumberFormat="1" applyBorder="1"/>
    <xf numFmtId="166" fontId="6" fillId="0" borderId="5" xfId="0" applyNumberFormat="1" applyFont="1" applyBorder="1"/>
    <xf numFmtId="166" fontId="1" fillId="0" borderId="5" xfId="0" applyNumberFormat="1" applyFont="1" applyBorder="1"/>
    <xf numFmtId="166" fontId="2" fillId="2" borderId="9" xfId="0" applyNumberFormat="1" applyFont="1" applyFill="1" applyBorder="1"/>
    <xf numFmtId="10" fontId="1" fillId="0" borderId="5" xfId="0" applyNumberFormat="1" applyFont="1" applyBorder="1"/>
    <xf numFmtId="10" fontId="1" fillId="0" borderId="8" xfId="0" applyNumberFormat="1" applyFont="1" applyBorder="1"/>
    <xf numFmtId="166" fontId="2" fillId="0" borderId="7" xfId="0" applyNumberFormat="1" applyFont="1" applyBorder="1"/>
    <xf numFmtId="166" fontId="1" fillId="0" borderId="5" xfId="0" applyNumberFormat="1" applyFont="1" applyBorder="1" applyProtection="1">
      <protection locked="0"/>
    </xf>
    <xf numFmtId="168" fontId="0" fillId="0" borderId="0" xfId="0" applyNumberFormat="1" applyProtection="1">
      <protection hidden="1"/>
    </xf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20" fillId="4" borderId="10" xfId="0" applyFont="1" applyFill="1" applyBorder="1" applyProtection="1">
      <protection hidden="1"/>
    </xf>
    <xf numFmtId="166" fontId="20" fillId="4" borderId="11" xfId="0" applyNumberFormat="1" applyFont="1" applyFill="1" applyBorder="1" applyProtection="1">
      <protection hidden="1"/>
    </xf>
    <xf numFmtId="0" fontId="20" fillId="4" borderId="11" xfId="0" applyFont="1" applyFill="1" applyBorder="1" applyProtection="1">
      <protection hidden="1"/>
    </xf>
    <xf numFmtId="0" fontId="20" fillId="4" borderId="12" xfId="0" applyFont="1" applyFill="1" applyBorder="1" applyProtection="1">
      <protection hidden="1"/>
    </xf>
    <xf numFmtId="0" fontId="2" fillId="0" borderId="0" xfId="0" applyFont="1" applyProtection="1">
      <protection hidden="1"/>
    </xf>
    <xf numFmtId="0" fontId="17" fillId="0" borderId="4" xfId="0" applyFont="1" applyBorder="1" applyProtection="1">
      <protection hidden="1"/>
    </xf>
    <xf numFmtId="0" fontId="22" fillId="0" borderId="0" xfId="2" applyFont="1" applyBorder="1" applyProtection="1">
      <protection hidden="1"/>
    </xf>
    <xf numFmtId="0" fontId="17" fillId="0" borderId="5" xfId="0" applyFont="1" applyBorder="1" applyProtection="1">
      <protection hidden="1"/>
    </xf>
    <xf numFmtId="0" fontId="20" fillId="0" borderId="1" xfId="0" applyFont="1" applyBorder="1" applyProtection="1">
      <protection hidden="1"/>
    </xf>
    <xf numFmtId="0" fontId="20" fillId="0" borderId="3" xfId="0" applyFont="1" applyBorder="1" applyProtection="1">
      <protection hidden="1"/>
    </xf>
    <xf numFmtId="0" fontId="20" fillId="0" borderId="6" xfId="0" applyFont="1" applyBorder="1" applyAlignment="1" applyProtection="1">
      <alignment horizontal="center"/>
      <protection hidden="1"/>
    </xf>
    <xf numFmtId="0" fontId="17" fillId="0" borderId="8" xfId="0" applyFont="1" applyBorder="1" applyAlignment="1" applyProtection="1">
      <alignment horizontal="center"/>
      <protection hidden="1"/>
    </xf>
    <xf numFmtId="0" fontId="20" fillId="0" borderId="8" xfId="0" applyFont="1" applyBorder="1" applyAlignment="1" applyProtection="1">
      <alignment horizontal="center"/>
      <protection hidden="1"/>
    </xf>
    <xf numFmtId="0" fontId="20" fillId="0" borderId="4" xfId="0" applyFont="1" applyBorder="1" applyAlignment="1" applyProtection="1">
      <alignment horizontal="center"/>
      <protection hidden="1"/>
    </xf>
    <xf numFmtId="0" fontId="20" fillId="0" borderId="5" xfId="0" applyFont="1" applyBorder="1" applyAlignment="1" applyProtection="1">
      <alignment horizontal="center"/>
      <protection hidden="1"/>
    </xf>
    <xf numFmtId="0" fontId="17" fillId="0" borderId="4" xfId="0" applyFont="1" applyBorder="1" applyAlignment="1" applyProtection="1">
      <alignment horizontal="left"/>
      <protection hidden="1"/>
    </xf>
    <xf numFmtId="0" fontId="17" fillId="0" borderId="5" xfId="0" applyFont="1" applyBorder="1" applyAlignment="1" applyProtection="1">
      <alignment horizontal="center"/>
      <protection hidden="1"/>
    </xf>
    <xf numFmtId="10" fontId="17" fillId="0" borderId="4" xfId="0" applyNumberFormat="1" applyFont="1" applyBorder="1" applyProtection="1">
      <protection hidden="1"/>
    </xf>
    <xf numFmtId="10" fontId="17" fillId="0" borderId="5" xfId="0" applyNumberFormat="1" applyFont="1" applyBorder="1" applyProtection="1">
      <protection hidden="1"/>
    </xf>
    <xf numFmtId="10" fontId="17" fillId="0" borderId="0" xfId="0" applyNumberFormat="1" applyFont="1" applyProtection="1">
      <protection hidden="1"/>
    </xf>
    <xf numFmtId="0" fontId="2" fillId="3" borderId="10" xfId="0" applyFont="1" applyFill="1" applyBorder="1" applyProtection="1">
      <protection hidden="1"/>
    </xf>
    <xf numFmtId="0" fontId="17" fillId="0" borderId="6" xfId="0" applyFont="1" applyBorder="1" applyProtection="1">
      <protection hidden="1"/>
    </xf>
    <xf numFmtId="10" fontId="17" fillId="0" borderId="6" xfId="0" applyNumberFormat="1" applyFont="1" applyBorder="1" applyProtection="1">
      <protection hidden="1"/>
    </xf>
    <xf numFmtId="10" fontId="17" fillId="0" borderId="8" xfId="0" applyNumberFormat="1" applyFont="1" applyBorder="1" applyProtection="1">
      <protection hidden="1"/>
    </xf>
    <xf numFmtId="10" fontId="17" fillId="0" borderId="7" xfId="0" applyNumberFormat="1" applyFont="1" applyBorder="1" applyProtection="1">
      <protection hidden="1"/>
    </xf>
    <xf numFmtId="0" fontId="17" fillId="0" borderId="7" xfId="0" applyFont="1" applyBorder="1" applyProtection="1">
      <protection hidden="1"/>
    </xf>
    <xf numFmtId="0" fontId="23" fillId="0" borderId="1" xfId="0" applyFont="1" applyBorder="1" applyProtection="1">
      <protection hidden="1"/>
    </xf>
    <xf numFmtId="166" fontId="24" fillId="0" borderId="2" xfId="0" applyNumberFormat="1" applyFont="1" applyBorder="1" applyProtection="1">
      <protection hidden="1"/>
    </xf>
    <xf numFmtId="10" fontId="17" fillId="0" borderId="2" xfId="0" applyNumberFormat="1" applyFont="1" applyBorder="1" applyProtection="1">
      <protection hidden="1"/>
    </xf>
    <xf numFmtId="0" fontId="17" fillId="0" borderId="2" xfId="0" applyFont="1" applyBorder="1" applyProtection="1">
      <protection hidden="1"/>
    </xf>
    <xf numFmtId="10" fontId="17" fillId="0" borderId="3" xfId="0" applyNumberFormat="1" applyFont="1" applyBorder="1" applyProtection="1">
      <protection hidden="1"/>
    </xf>
    <xf numFmtId="0" fontId="23" fillId="0" borderId="4" xfId="0" applyFont="1" applyBorder="1" applyProtection="1">
      <protection hidden="1"/>
    </xf>
    <xf numFmtId="166" fontId="24" fillId="0" borderId="0" xfId="0" applyNumberFormat="1" applyFont="1" applyProtection="1">
      <protection hidden="1"/>
    </xf>
    <xf numFmtId="0" fontId="23" fillId="0" borderId="6" xfId="0" applyFont="1" applyBorder="1" applyProtection="1">
      <protection hidden="1"/>
    </xf>
    <xf numFmtId="166" fontId="24" fillId="0" borderId="7" xfId="0" applyNumberFormat="1" applyFont="1" applyBorder="1" applyProtection="1">
      <protection hidden="1"/>
    </xf>
    <xf numFmtId="168" fontId="0" fillId="3" borderId="12" xfId="0" applyNumberFormat="1" applyFill="1" applyBorder="1" applyProtection="1">
      <protection hidden="1"/>
    </xf>
    <xf numFmtId="10" fontId="0" fillId="0" borderId="0" xfId="0" applyNumberFormat="1" applyProtection="1">
      <protection hidden="1"/>
    </xf>
    <xf numFmtId="0" fontId="19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7" fillId="0" borderId="0" xfId="2" applyFont="1" applyProtection="1">
      <protection hidden="1"/>
    </xf>
    <xf numFmtId="0" fontId="29" fillId="0" borderId="0" xfId="2" applyFont="1" applyProtection="1">
      <protection hidden="1"/>
    </xf>
    <xf numFmtId="0" fontId="30" fillId="0" borderId="0" xfId="0" applyFont="1" applyProtection="1">
      <protection hidden="1"/>
    </xf>
    <xf numFmtId="0" fontId="2" fillId="3" borderId="11" xfId="0" applyFont="1" applyFill="1" applyBorder="1" applyProtection="1">
      <protection hidden="1"/>
    </xf>
    <xf numFmtId="0" fontId="2" fillId="3" borderId="12" xfId="0" applyFont="1" applyFill="1" applyBorder="1" applyProtection="1">
      <protection hidden="1"/>
    </xf>
    <xf numFmtId="166" fontId="2" fillId="3" borderId="11" xfId="0" applyNumberFormat="1" applyFont="1" applyFill="1" applyBorder="1" applyProtection="1">
      <protection hidden="1"/>
    </xf>
    <xf numFmtId="0" fontId="0" fillId="0" borderId="4" xfId="0" applyBorder="1" applyProtection="1">
      <protection hidden="1"/>
    </xf>
    <xf numFmtId="3" fontId="0" fillId="0" borderId="0" xfId="0" applyNumberFormat="1" applyProtection="1">
      <protection hidden="1"/>
    </xf>
    <xf numFmtId="0" fontId="0" fillId="0" borderId="5" xfId="0" applyBorder="1" applyProtection="1">
      <protection hidden="1"/>
    </xf>
    <xf numFmtId="0" fontId="11" fillId="0" borderId="4" xfId="0" applyFont="1" applyBorder="1" applyAlignment="1" applyProtection="1">
      <alignment horizontal="right" indent="2"/>
      <protection hidden="1"/>
    </xf>
    <xf numFmtId="166" fontId="11" fillId="0" borderId="0" xfId="0" applyNumberFormat="1" applyFont="1" applyAlignment="1" applyProtection="1">
      <alignment horizontal="center"/>
      <protection hidden="1"/>
    </xf>
    <xf numFmtId="166" fontId="0" fillId="0" borderId="0" xfId="0" applyNumberFormat="1" applyProtection="1">
      <protection hidden="1"/>
    </xf>
    <xf numFmtId="0" fontId="0" fillId="0" borderId="4" xfId="0" applyBorder="1" applyAlignment="1" applyProtection="1">
      <alignment horizontal="right" indent="2"/>
      <protection hidden="1"/>
    </xf>
    <xf numFmtId="3" fontId="0" fillId="0" borderId="0" xfId="0" applyNumberForma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166" fontId="6" fillId="0" borderId="0" xfId="0" applyNumberFormat="1" applyFont="1" applyProtection="1">
      <protection hidden="1"/>
    </xf>
    <xf numFmtId="0" fontId="7" fillId="0" borderId="4" xfId="0" applyFont="1" applyBorder="1" applyProtection="1">
      <protection hidden="1"/>
    </xf>
    <xf numFmtId="166" fontId="7" fillId="0" borderId="0" xfId="0" applyNumberFormat="1" applyFont="1" applyProtection="1">
      <protection hidden="1"/>
    </xf>
    <xf numFmtId="166" fontId="0" fillId="0" borderId="0" xfId="0" applyNumberFormat="1" applyAlignment="1" applyProtection="1">
      <alignment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9" fontId="7" fillId="0" borderId="0" xfId="0" applyNumberFormat="1" applyFont="1" applyProtection="1">
      <protection hidden="1"/>
    </xf>
    <xf numFmtId="0" fontId="2" fillId="4" borderId="10" xfId="0" applyFont="1" applyFill="1" applyBorder="1" applyProtection="1">
      <protection hidden="1"/>
    </xf>
    <xf numFmtId="166" fontId="2" fillId="4" borderId="11" xfId="0" applyNumberFormat="1" applyFont="1" applyFill="1" applyBorder="1" applyProtection="1">
      <protection hidden="1"/>
    </xf>
    <xf numFmtId="0" fontId="2" fillId="4" borderId="11" xfId="0" applyFont="1" applyFill="1" applyBorder="1" applyProtection="1">
      <protection hidden="1"/>
    </xf>
    <xf numFmtId="0" fontId="2" fillId="4" borderId="12" xfId="0" applyFont="1" applyFill="1" applyBorder="1" applyProtection="1">
      <protection hidden="1"/>
    </xf>
    <xf numFmtId="166" fontId="12" fillId="0" borderId="0" xfId="0" applyNumberFormat="1" applyFont="1" applyProtection="1">
      <protection hidden="1"/>
    </xf>
    <xf numFmtId="0" fontId="16" fillId="0" borderId="0" xfId="2" applyBorder="1" applyProtection="1">
      <protection hidden="1"/>
    </xf>
    <xf numFmtId="0" fontId="2" fillId="0" borderId="1" xfId="0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2" fillId="0" borderId="6" xfId="0" applyFont="1" applyBorder="1" applyAlignment="1" applyProtection="1">
      <alignment horizontal="center"/>
      <protection hidden="1"/>
    </xf>
    <xf numFmtId="0" fontId="2" fillId="0" borderId="8" xfId="0" applyFont="1" applyBorder="1" applyAlignment="1" applyProtection="1">
      <alignment horizontal="center"/>
      <protection hidden="1"/>
    </xf>
    <xf numFmtId="10" fontId="7" fillId="0" borderId="0" xfId="0" applyNumberFormat="1" applyFont="1" applyProtection="1"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center"/>
      <protection hidden="1"/>
    </xf>
    <xf numFmtId="10" fontId="0" fillId="0" borderId="4" xfId="0" applyNumberFormat="1" applyBorder="1" applyProtection="1">
      <protection hidden="1"/>
    </xf>
    <xf numFmtId="10" fontId="0" fillId="0" borderId="5" xfId="0" applyNumberFormat="1" applyBorder="1" applyProtection="1">
      <protection hidden="1"/>
    </xf>
    <xf numFmtId="166" fontId="1" fillId="0" borderId="0" xfId="0" applyNumberFormat="1" applyFont="1" applyProtection="1">
      <protection hidden="1"/>
    </xf>
    <xf numFmtId="166" fontId="1" fillId="0" borderId="5" xfId="0" applyNumberFormat="1" applyFont="1" applyBorder="1" applyProtection="1">
      <protection hidden="1"/>
    </xf>
    <xf numFmtId="166" fontId="1" fillId="0" borderId="7" xfId="0" applyNumberFormat="1" applyFont="1" applyBorder="1" applyProtection="1">
      <protection locked="0" hidden="1"/>
    </xf>
    <xf numFmtId="10" fontId="7" fillId="0" borderId="7" xfId="0" applyNumberFormat="1" applyFont="1" applyBorder="1" applyProtection="1">
      <protection hidden="1"/>
    </xf>
    <xf numFmtId="166" fontId="6" fillId="0" borderId="8" xfId="0" applyNumberFormat="1" applyFont="1" applyBorder="1" applyProtection="1">
      <protection hidden="1"/>
    </xf>
    <xf numFmtId="10" fontId="0" fillId="0" borderId="6" xfId="0" applyNumberFormat="1" applyBorder="1" applyProtection="1">
      <protection hidden="1"/>
    </xf>
    <xf numFmtId="10" fontId="0" fillId="0" borderId="8" xfId="0" applyNumberFormat="1" applyBorder="1" applyProtection="1">
      <protection hidden="1"/>
    </xf>
    <xf numFmtId="10" fontId="0" fillId="0" borderId="7" xfId="0" applyNumberFormat="1" applyBorder="1" applyProtection="1">
      <protection hidden="1"/>
    </xf>
    <xf numFmtId="166" fontId="6" fillId="0" borderId="5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166" fontId="0" fillId="0" borderId="5" xfId="0" applyNumberFormat="1" applyBorder="1" applyProtection="1">
      <protection hidden="1"/>
    </xf>
    <xf numFmtId="0" fontId="0" fillId="6" borderId="6" xfId="0" applyFill="1" applyBorder="1" applyProtection="1">
      <protection hidden="1"/>
    </xf>
    <xf numFmtId="166" fontId="2" fillId="6" borderId="7" xfId="0" applyNumberFormat="1" applyFont="1" applyFill="1" applyBorder="1" applyProtection="1">
      <protection hidden="1"/>
    </xf>
    <xf numFmtId="166" fontId="0" fillId="6" borderId="7" xfId="0" applyNumberFormat="1" applyFill="1" applyBorder="1" applyProtection="1">
      <protection hidden="1"/>
    </xf>
    <xf numFmtId="0" fontId="0" fillId="6" borderId="8" xfId="0" applyFill="1" applyBorder="1" applyProtection="1">
      <protection hidden="1"/>
    </xf>
    <xf numFmtId="0" fontId="0" fillId="3" borderId="11" xfId="0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0" fillId="6" borderId="4" xfId="0" applyFill="1" applyBorder="1" applyProtection="1">
      <protection hidden="1"/>
    </xf>
    <xf numFmtId="166" fontId="2" fillId="6" borderId="0" xfId="0" applyNumberFormat="1" applyFont="1" applyFill="1" applyProtection="1">
      <protection hidden="1"/>
    </xf>
    <xf numFmtId="166" fontId="0" fillId="6" borderId="0" xfId="0" applyNumberFormat="1" applyFill="1" applyProtection="1">
      <protection hidden="1"/>
    </xf>
    <xf numFmtId="0" fontId="0" fillId="6" borderId="5" xfId="0" applyFill="1" applyBorder="1" applyProtection="1">
      <protection hidden="1"/>
    </xf>
    <xf numFmtId="166" fontId="0" fillId="3" borderId="11" xfId="0" applyNumberFormat="1" applyFill="1" applyBorder="1" applyProtection="1">
      <protection hidden="1"/>
    </xf>
    <xf numFmtId="166" fontId="2" fillId="0" borderId="7" xfId="0" applyNumberFormat="1" applyFont="1" applyBorder="1" applyProtection="1">
      <protection hidden="1"/>
    </xf>
    <xf numFmtId="166" fontId="0" fillId="0" borderId="7" xfId="0" applyNumberFormat="1" applyBorder="1" applyProtection="1">
      <protection hidden="1"/>
    </xf>
    <xf numFmtId="166" fontId="2" fillId="0" borderId="5" xfId="0" applyNumberFormat="1" applyFont="1" applyBorder="1" applyProtection="1">
      <protection hidden="1"/>
    </xf>
    <xf numFmtId="9" fontId="7" fillId="0" borderId="5" xfId="0" applyNumberFormat="1" applyFont="1" applyBorder="1" applyProtection="1">
      <protection hidden="1"/>
    </xf>
    <xf numFmtId="9" fontId="7" fillId="0" borderId="8" xfId="0" applyNumberFormat="1" applyFont="1" applyBorder="1" applyProtection="1">
      <protection hidden="1"/>
    </xf>
    <xf numFmtId="166" fontId="7" fillId="0" borderId="7" xfId="0" applyNumberFormat="1" applyFont="1" applyBorder="1" applyProtection="1">
      <protection hidden="1"/>
    </xf>
    <xf numFmtId="0" fontId="13" fillId="0" borderId="1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3" fillId="0" borderId="1" xfId="0" applyFont="1" applyBorder="1" applyProtection="1">
      <protection hidden="1"/>
    </xf>
    <xf numFmtId="0" fontId="3" fillId="0" borderId="2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6" xfId="0" applyFont="1" applyBorder="1" applyProtection="1">
      <protection hidden="1"/>
    </xf>
    <xf numFmtId="0" fontId="3" fillId="0" borderId="7" xfId="0" applyFont="1" applyBorder="1" applyProtection="1">
      <protection hidden="1"/>
    </xf>
    <xf numFmtId="0" fontId="3" fillId="0" borderId="8" xfId="0" applyFont="1" applyBorder="1" applyProtection="1">
      <protection hidden="1"/>
    </xf>
    <xf numFmtId="0" fontId="14" fillId="0" borderId="17" xfId="0" applyFont="1" applyBorder="1" applyProtection="1">
      <protection hidden="1"/>
    </xf>
    <xf numFmtId="0" fontId="14" fillId="0" borderId="18" xfId="0" applyFont="1" applyBorder="1" applyProtection="1">
      <protection hidden="1"/>
    </xf>
    <xf numFmtId="167" fontId="0" fillId="0" borderId="0" xfId="0" applyNumberFormat="1" applyProtection="1">
      <protection hidden="1"/>
    </xf>
    <xf numFmtId="1" fontId="15" fillId="0" borderId="0" xfId="0" applyNumberFormat="1" applyFont="1" applyProtection="1">
      <protection locked="0" hidden="1"/>
    </xf>
    <xf numFmtId="1" fontId="15" fillId="0" borderId="5" xfId="0" applyNumberFormat="1" applyFont="1" applyBorder="1" applyProtection="1">
      <protection locked="0" hidden="1"/>
    </xf>
    <xf numFmtId="1" fontId="15" fillId="0" borderId="0" xfId="0" applyNumberFormat="1" applyFont="1" applyProtection="1">
      <protection hidden="1"/>
    </xf>
    <xf numFmtId="1" fontId="15" fillId="0" borderId="5" xfId="0" applyNumberFormat="1" applyFont="1" applyBorder="1" applyProtection="1">
      <protection hidden="1"/>
    </xf>
    <xf numFmtId="1" fontId="0" fillId="0" borderId="0" xfId="0" applyNumberFormat="1" applyProtection="1">
      <protection hidden="1"/>
    </xf>
    <xf numFmtId="1" fontId="0" fillId="0" borderId="5" xfId="0" applyNumberFormat="1" applyBorder="1" applyProtection="1">
      <protection hidden="1"/>
    </xf>
    <xf numFmtId="0" fontId="14" fillId="0" borderId="4" xfId="0" applyFont="1" applyBorder="1" applyProtection="1">
      <protection hidden="1"/>
    </xf>
    <xf numFmtId="0" fontId="14" fillId="0" borderId="0" xfId="0" applyFont="1" applyProtection="1">
      <protection hidden="1"/>
    </xf>
    <xf numFmtId="167" fontId="14" fillId="0" borderId="0" xfId="0" applyNumberFormat="1" applyFont="1" applyProtection="1">
      <protection hidden="1"/>
    </xf>
    <xf numFmtId="1" fontId="14" fillId="0" borderId="0" xfId="0" applyNumberFormat="1" applyFont="1" applyProtection="1">
      <protection hidden="1"/>
    </xf>
    <xf numFmtId="1" fontId="14" fillId="0" borderId="5" xfId="0" applyNumberFormat="1" applyFont="1" applyBorder="1" applyProtection="1">
      <protection hidden="1"/>
    </xf>
    <xf numFmtId="1" fontId="14" fillId="0" borderId="17" xfId="0" applyNumberFormat="1" applyFont="1" applyBorder="1" applyProtection="1">
      <protection hidden="1"/>
    </xf>
    <xf numFmtId="1" fontId="14" fillId="0" borderId="18" xfId="0" applyNumberFormat="1" applyFont="1" applyBorder="1" applyProtection="1">
      <protection hidden="1"/>
    </xf>
    <xf numFmtId="167" fontId="0" fillId="0" borderId="5" xfId="0" applyNumberFormat="1" applyBorder="1" applyProtection="1">
      <protection hidden="1"/>
    </xf>
    <xf numFmtId="3" fontId="3" fillId="0" borderId="2" xfId="0" applyNumberFormat="1" applyFont="1" applyBorder="1" applyProtection="1">
      <protection hidden="1"/>
    </xf>
    <xf numFmtId="1" fontId="3" fillId="0" borderId="2" xfId="0" applyNumberFormat="1" applyFont="1" applyBorder="1" applyProtection="1">
      <protection hidden="1"/>
    </xf>
    <xf numFmtId="1" fontId="3" fillId="0" borderId="3" xfId="0" applyNumberFormat="1" applyFont="1" applyBorder="1" applyProtection="1">
      <protection hidden="1"/>
    </xf>
    <xf numFmtId="9" fontId="3" fillId="0" borderId="7" xfId="0" applyNumberFormat="1" applyFont="1" applyBorder="1" applyProtection="1">
      <protection hidden="1"/>
    </xf>
    <xf numFmtId="10" fontId="3" fillId="0" borderId="7" xfId="0" applyNumberFormat="1" applyFont="1" applyBorder="1" applyProtection="1">
      <protection hidden="1"/>
    </xf>
    <xf numFmtId="10" fontId="3" fillId="0" borderId="8" xfId="0" applyNumberFormat="1" applyFont="1" applyBorder="1" applyProtection="1">
      <protection hidden="1"/>
    </xf>
    <xf numFmtId="168" fontId="1" fillId="0" borderId="0" xfId="0" applyNumberFormat="1" applyFont="1" applyProtection="1">
      <protection hidden="1"/>
    </xf>
    <xf numFmtId="0" fontId="32" fillId="0" borderId="0" xfId="0" applyFont="1" applyAlignment="1" applyProtection="1">
      <alignment horizontal="center"/>
      <protection hidden="1"/>
    </xf>
    <xf numFmtId="166" fontId="21" fillId="0" borderId="0" xfId="0" applyNumberFormat="1" applyFont="1" applyProtection="1">
      <protection locked="0" hidden="1"/>
    </xf>
    <xf numFmtId="0" fontId="17" fillId="0" borderId="0" xfId="0" applyFont="1" applyAlignment="1" applyProtection="1">
      <alignment horizontal="center"/>
      <protection hidden="1"/>
    </xf>
    <xf numFmtId="0" fontId="20" fillId="0" borderId="5" xfId="0" applyFont="1" applyBorder="1" applyProtection="1">
      <protection hidden="1"/>
    </xf>
    <xf numFmtId="164" fontId="0" fillId="0" borderId="0" xfId="0" applyNumberFormat="1"/>
    <xf numFmtId="0" fontId="0" fillId="0" borderId="13" xfId="0" applyBorder="1" applyProtection="1">
      <protection hidden="1"/>
    </xf>
    <xf numFmtId="168" fontId="2" fillId="3" borderId="11" xfId="0" applyNumberFormat="1" applyFont="1" applyFill="1" applyBorder="1" applyProtection="1">
      <protection hidden="1"/>
    </xf>
    <xf numFmtId="10" fontId="0" fillId="0" borderId="0" xfId="0" applyNumberFormat="1"/>
    <xf numFmtId="164" fontId="0" fillId="0" borderId="17" xfId="0" applyNumberFormat="1" applyBorder="1"/>
    <xf numFmtId="3" fontId="25" fillId="0" borderId="0" xfId="0" applyNumberFormat="1" applyFont="1" applyProtection="1">
      <protection hidden="1"/>
    </xf>
    <xf numFmtId="10" fontId="1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3" fontId="37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 indent="6"/>
      <protection hidden="1"/>
    </xf>
    <xf numFmtId="3" fontId="37" fillId="0" borderId="17" xfId="0" applyNumberFormat="1" applyFont="1" applyBorder="1" applyAlignment="1">
      <alignment horizontal="center"/>
    </xf>
    <xf numFmtId="0" fontId="37" fillId="0" borderId="0" xfId="0" quotePrefix="1" applyFont="1" applyAlignment="1" applyProtection="1">
      <alignment horizontal="center"/>
      <protection hidden="1"/>
    </xf>
    <xf numFmtId="10" fontId="33" fillId="0" borderId="0" xfId="0" applyNumberFormat="1" applyFont="1" applyProtection="1">
      <protection hidden="1"/>
    </xf>
    <xf numFmtId="164" fontId="0" fillId="0" borderId="7" xfId="0" applyNumberFormat="1" applyBorder="1" applyProtection="1">
      <protection hidden="1"/>
    </xf>
    <xf numFmtId="0" fontId="0" fillId="0" borderId="0" xfId="0" applyAlignment="1">
      <alignment horizontal="center" vertical="center"/>
    </xf>
    <xf numFmtId="0" fontId="36" fillId="0" borderId="0" xfId="0" applyFont="1"/>
    <xf numFmtId="0" fontId="0" fillId="0" borderId="0" xfId="0" applyAlignment="1">
      <alignment wrapText="1"/>
    </xf>
    <xf numFmtId="0" fontId="3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37" fillId="5" borderId="39" xfId="0" applyFont="1" applyFill="1" applyBorder="1" applyAlignment="1">
      <alignment horizontal="center" vertical="center" wrapText="1"/>
    </xf>
    <xf numFmtId="0" fontId="37" fillId="5" borderId="40" xfId="0" applyFont="1" applyFill="1" applyBorder="1" applyAlignment="1">
      <alignment horizontal="center" vertical="center" wrapText="1"/>
    </xf>
    <xf numFmtId="0" fontId="0" fillId="9" borderId="41" xfId="0" applyFill="1" applyBorder="1" applyAlignment="1">
      <alignment horizontal="center"/>
    </xf>
    <xf numFmtId="1" fontId="37" fillId="0" borderId="0" xfId="6" applyNumberFormat="1" applyFont="1" applyBorder="1" applyAlignment="1" applyProtection="1">
      <alignment horizontal="center" wrapText="1"/>
    </xf>
    <xf numFmtId="1" fontId="33" fillId="8" borderId="0" xfId="6" applyNumberFormat="1" applyFont="1" applyFill="1" applyBorder="1" applyAlignment="1" applyProtection="1">
      <alignment horizontal="center" wrapText="1"/>
    </xf>
    <xf numFmtId="1" fontId="37" fillId="0" borderId="0" xfId="6" applyNumberFormat="1" applyFont="1" applyBorder="1" applyAlignment="1" applyProtection="1">
      <alignment horizontal="center"/>
    </xf>
    <xf numFmtId="1" fontId="37" fillId="0" borderId="5" xfId="6" applyNumberFormat="1" applyFont="1" applyBorder="1" applyAlignment="1" applyProtection="1">
      <alignment horizontal="center"/>
    </xf>
    <xf numFmtId="10" fontId="0" fillId="0" borderId="0" xfId="0" applyNumberFormat="1" applyAlignment="1">
      <alignment horizontal="center"/>
    </xf>
    <xf numFmtId="0" fontId="0" fillId="9" borderId="42" xfId="0" applyFill="1" applyBorder="1" applyAlignment="1">
      <alignment horizontal="center"/>
    </xf>
    <xf numFmtId="1" fontId="37" fillId="0" borderId="7" xfId="6" applyNumberFormat="1" applyFont="1" applyBorder="1" applyAlignment="1" applyProtection="1">
      <alignment horizontal="center"/>
    </xf>
    <xf numFmtId="1" fontId="37" fillId="0" borderId="8" xfId="6" applyNumberFormat="1" applyFont="1" applyBorder="1" applyAlignment="1" applyProtection="1">
      <alignment horizontal="center"/>
    </xf>
    <xf numFmtId="0" fontId="3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0" fontId="0" fillId="8" borderId="20" xfId="0" applyNumberFormat="1" applyFill="1" applyBorder="1" applyAlignment="1">
      <alignment horizontal="center" vertical="center" wrapText="1"/>
    </xf>
    <xf numFmtId="10" fontId="0" fillId="8" borderId="21" xfId="0" applyNumberFormat="1" applyFill="1" applyBorder="1" applyAlignment="1">
      <alignment horizontal="center" vertical="center" wrapText="1"/>
    </xf>
    <xf numFmtId="9" fontId="0" fillId="8" borderId="21" xfId="0" applyNumberFormat="1" applyFill="1" applyBorder="1" applyAlignment="1">
      <alignment horizontal="center" vertical="center" wrapText="1"/>
    </xf>
    <xf numFmtId="0" fontId="0" fillId="8" borderId="21" xfId="0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0" fillId="8" borderId="24" xfId="0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10" fontId="0" fillId="0" borderId="28" xfId="0" applyNumberFormat="1" applyBorder="1" applyAlignment="1">
      <alignment horizontal="center" vertical="center"/>
    </xf>
    <xf numFmtId="10" fontId="0" fillId="0" borderId="29" xfId="0" applyNumberForma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0" fontId="0" fillId="0" borderId="30" xfId="0" applyBorder="1"/>
    <xf numFmtId="0" fontId="0" fillId="0" borderId="31" xfId="0" applyBorder="1"/>
    <xf numFmtId="10" fontId="0" fillId="0" borderId="30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0" fillId="0" borderId="31" xfId="0" applyNumberFormat="1" applyBorder="1" applyAlignment="1">
      <alignment horizontal="center" vertical="center"/>
    </xf>
    <xf numFmtId="10" fontId="0" fillId="8" borderId="30" xfId="0" applyNumberFormat="1" applyFill="1" applyBorder="1" applyAlignment="1">
      <alignment horizontal="center" vertical="center"/>
    </xf>
    <xf numFmtId="10" fontId="0" fillId="8" borderId="14" xfId="0" applyNumberFormat="1" applyFill="1" applyBorder="1" applyAlignment="1">
      <alignment horizontal="center" vertical="center"/>
    </xf>
    <xf numFmtId="10" fontId="0" fillId="8" borderId="31" xfId="0" applyNumberFormat="1" applyFill="1" applyBorder="1" applyAlignment="1">
      <alignment horizontal="center" vertical="center"/>
    </xf>
    <xf numFmtId="0" fontId="0" fillId="0" borderId="32" xfId="0" applyBorder="1"/>
    <xf numFmtId="0" fontId="0" fillId="0" borderId="33" xfId="0" applyBorder="1"/>
    <xf numFmtId="10" fontId="0" fillId="0" borderId="32" xfId="0" applyNumberFormat="1" applyBorder="1" applyAlignment="1">
      <alignment horizontal="center" vertical="center"/>
    </xf>
    <xf numFmtId="10" fontId="0" fillId="0" borderId="34" xfId="0" applyNumberFormat="1" applyBorder="1" applyAlignment="1">
      <alignment horizontal="center" vertical="center"/>
    </xf>
    <xf numFmtId="10" fontId="0" fillId="0" borderId="33" xfId="0" applyNumberFormat="1" applyBorder="1" applyAlignment="1">
      <alignment horizontal="center" vertical="center"/>
    </xf>
    <xf numFmtId="0" fontId="0" fillId="0" borderId="43" xfId="0" applyBorder="1"/>
    <xf numFmtId="0" fontId="37" fillId="0" borderId="0" xfId="0" quotePrefix="1" applyFont="1"/>
    <xf numFmtId="170" fontId="37" fillId="10" borderId="16" xfId="0" applyNumberFormat="1" applyFont="1" applyFill="1" applyBorder="1" applyAlignment="1">
      <alignment horizontal="center"/>
    </xf>
    <xf numFmtId="0" fontId="6" fillId="10" borderId="37" xfId="0" applyFont="1" applyFill="1" applyBorder="1" applyAlignment="1">
      <alignment horizontal="left" vertical="center"/>
    </xf>
    <xf numFmtId="0" fontId="0" fillId="10" borderId="37" xfId="0" applyFill="1" applyBorder="1"/>
    <xf numFmtId="0" fontId="0" fillId="10" borderId="35" xfId="0" applyFill="1" applyBorder="1"/>
    <xf numFmtId="170" fontId="37" fillId="0" borderId="0" xfId="0" applyNumberFormat="1" applyFont="1" applyAlignment="1">
      <alignment horizontal="center"/>
    </xf>
    <xf numFmtId="170" fontId="37" fillId="10" borderId="15" xfId="0" applyNumberFormat="1" applyFont="1" applyFill="1" applyBorder="1" applyAlignment="1">
      <alignment horizontal="center"/>
    </xf>
    <xf numFmtId="0" fontId="6" fillId="10" borderId="0" xfId="0" applyFont="1" applyFill="1" applyAlignment="1">
      <alignment horizontal="left" vertical="center"/>
    </xf>
    <xf numFmtId="0" fontId="0" fillId="10" borderId="0" xfId="0" applyFill="1"/>
    <xf numFmtId="0" fontId="0" fillId="10" borderId="36" xfId="0" applyFill="1" applyBorder="1"/>
    <xf numFmtId="3" fontId="37" fillId="0" borderId="0" xfId="0" quotePrefix="1" applyNumberFormat="1" applyFont="1"/>
    <xf numFmtId="0" fontId="6" fillId="0" borderId="0" xfId="0" applyFont="1"/>
    <xf numFmtId="0" fontId="37" fillId="0" borderId="0" xfId="0" applyFont="1"/>
    <xf numFmtId="170" fontId="37" fillId="10" borderId="13" xfId="0" applyNumberFormat="1" applyFont="1" applyFill="1" applyBorder="1" applyAlignment="1">
      <alignment horizontal="center"/>
    </xf>
    <xf numFmtId="0" fontId="6" fillId="10" borderId="17" xfId="0" applyFont="1" applyFill="1" applyBorder="1" applyAlignment="1">
      <alignment horizontal="left" vertical="center"/>
    </xf>
    <xf numFmtId="0" fontId="0" fillId="10" borderId="17" xfId="0" applyFill="1" applyBorder="1"/>
    <xf numFmtId="0" fontId="0" fillId="10" borderId="19" xfId="0" applyFill="1" applyBorder="1"/>
    <xf numFmtId="0" fontId="0" fillId="0" borderId="0" xfId="0" applyAlignment="1">
      <alignment vertical="center"/>
    </xf>
    <xf numFmtId="169" fontId="0" fillId="0" borderId="0" xfId="0" applyNumberFormat="1" applyAlignment="1">
      <alignment horizontal="center" vertical="center"/>
    </xf>
    <xf numFmtId="10" fontId="0" fillId="0" borderId="0" xfId="1" applyNumberFormat="1" applyFont="1" applyProtection="1"/>
    <xf numFmtId="169" fontId="0" fillId="0" borderId="17" xfId="0" applyNumberFormat="1" applyBorder="1" applyAlignment="1">
      <alignment horizontal="center" vertical="center"/>
    </xf>
    <xf numFmtId="10" fontId="0" fillId="0" borderId="17" xfId="1" applyNumberFormat="1" applyFont="1" applyBorder="1" applyProtection="1"/>
    <xf numFmtId="168" fontId="0" fillId="3" borderId="2" xfId="0" applyNumberFormat="1" applyFill="1" applyBorder="1" applyProtection="1">
      <protection hidden="1"/>
    </xf>
    <xf numFmtId="3" fontId="25" fillId="0" borderId="14" xfId="0" applyNumberFormat="1" applyFont="1" applyBorder="1" applyProtection="1">
      <protection locked="0" hidden="1"/>
    </xf>
    <xf numFmtId="3" fontId="1" fillId="0" borderId="14" xfId="0" applyNumberFormat="1" applyFont="1" applyBorder="1" applyProtection="1">
      <protection locked="0" hidden="1"/>
    </xf>
    <xf numFmtId="168" fontId="2" fillId="3" borderId="2" xfId="0" applyNumberFormat="1" applyFont="1" applyFill="1" applyBorder="1" applyProtection="1">
      <protection hidden="1"/>
    </xf>
    <xf numFmtId="168" fontId="1" fillId="0" borderId="14" xfId="0" applyNumberFormat="1" applyFont="1" applyBorder="1" applyProtection="1">
      <protection locked="0" hidden="1"/>
    </xf>
    <xf numFmtId="10" fontId="1" fillId="0" borderId="14" xfId="0" applyNumberFormat="1" applyFont="1" applyBorder="1" applyProtection="1">
      <protection locked="0" hidden="1"/>
    </xf>
    <xf numFmtId="10" fontId="0" fillId="0" borderId="20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0" borderId="24" xfId="0" applyNumberFormat="1" applyBorder="1" applyAlignment="1">
      <alignment horizontal="center" vertical="center"/>
    </xf>
    <xf numFmtId="0" fontId="0" fillId="0" borderId="1" xfId="0" applyBorder="1" applyProtection="1">
      <protection hidden="1"/>
    </xf>
    <xf numFmtId="0" fontId="38" fillId="0" borderId="0" xfId="0" applyFont="1"/>
    <xf numFmtId="10" fontId="38" fillId="0" borderId="0" xfId="0" applyNumberFormat="1" applyFont="1"/>
    <xf numFmtId="164" fontId="38" fillId="0" borderId="0" xfId="0" quotePrefix="1" applyNumberFormat="1" applyFont="1"/>
    <xf numFmtId="164" fontId="38" fillId="0" borderId="0" xfId="0" applyNumberFormat="1" applyFont="1"/>
    <xf numFmtId="0" fontId="31" fillId="0" borderId="0" xfId="2" applyFont="1" applyProtection="1">
      <protection hidden="1"/>
    </xf>
    <xf numFmtId="10" fontId="0" fillId="6" borderId="0" xfId="0" applyNumberFormat="1" applyFill="1" applyProtection="1">
      <protection hidden="1"/>
    </xf>
    <xf numFmtId="10" fontId="0" fillId="6" borderId="7" xfId="0" applyNumberFormat="1" applyFill="1" applyBorder="1" applyProtection="1">
      <protection hidden="1"/>
    </xf>
    <xf numFmtId="0" fontId="0" fillId="0" borderId="0" xfId="0" applyBorder="1" applyProtection="1">
      <protection hidden="1"/>
    </xf>
    <xf numFmtId="10" fontId="0" fillId="0" borderId="0" xfId="0" applyNumberFormat="1" applyBorder="1" applyProtection="1">
      <protection hidden="1"/>
    </xf>
    <xf numFmtId="168" fontId="0" fillId="0" borderId="7" xfId="0" applyNumberFormat="1" applyBorder="1" applyProtection="1">
      <protection hidden="1"/>
    </xf>
    <xf numFmtId="10" fontId="0" fillId="8" borderId="9" xfId="0" applyNumberFormat="1" applyFill="1" applyBorder="1" applyAlignment="1">
      <alignment horizontal="center"/>
    </xf>
    <xf numFmtId="0" fontId="0" fillId="8" borderId="9" xfId="0" applyFill="1" applyBorder="1"/>
    <xf numFmtId="0" fontId="0" fillId="8" borderId="9" xfId="0" applyFill="1" applyBorder="1" applyAlignment="1">
      <alignment wrapText="1"/>
    </xf>
    <xf numFmtId="9" fontId="0" fillId="8" borderId="9" xfId="0" applyNumberForma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0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5" fillId="7" borderId="0" xfId="0" applyFont="1" applyFill="1"/>
    <xf numFmtId="0" fontId="9" fillId="7" borderId="0" xfId="0" applyFont="1" applyFill="1"/>
    <xf numFmtId="0" fontId="34" fillId="8" borderId="1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8" borderId="10" xfId="0" applyFill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</cellXfs>
  <cellStyles count="7">
    <cellStyle name="Gevolgde hyperlink" xfId="3" builtinId="9" hidden="1"/>
    <cellStyle name="Gevolgde hyperlink" xfId="4" builtinId="9" hidden="1"/>
    <cellStyle name="Gevolgde hyperlink" xfId="5" builtinId="9" hidden="1"/>
    <cellStyle name="Hyperlink" xfId="2" builtinId="8"/>
    <cellStyle name="Komma" xfId="6" builtinId="3"/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FF0000"/>
    <pageSetUpPr fitToPage="1"/>
  </sheetPr>
  <dimension ref="B2:O42"/>
  <sheetViews>
    <sheetView showGridLines="0" workbookViewId="0">
      <selection activeCell="C17" sqref="C17"/>
    </sheetView>
  </sheetViews>
  <sheetFormatPr defaultColWidth="11.42578125" defaultRowHeight="15" x14ac:dyDescent="0.25"/>
  <cols>
    <col min="1" max="1" width="11.42578125" style="42"/>
    <col min="2" max="2" width="54.140625" style="42" customWidth="1"/>
    <col min="3" max="3" width="10.85546875" style="41"/>
    <col min="4" max="4" width="11.42578125" style="41"/>
    <col min="5" max="5" width="11.42578125" style="103"/>
    <col min="6" max="6" width="34" style="43" customWidth="1"/>
    <col min="7" max="8" width="10.85546875" style="43"/>
    <col min="9" max="9" width="2" style="43" customWidth="1"/>
    <col min="10" max="11" width="10.85546875" style="43"/>
    <col min="12" max="12" width="2" style="43" customWidth="1"/>
    <col min="13" max="13" width="10.85546875" style="43"/>
    <col min="14" max="14" width="20.7109375" style="43" customWidth="1"/>
    <col min="15" max="15" width="10.85546875" style="42"/>
    <col min="16" max="16384" width="11.42578125" style="42"/>
  </cols>
  <sheetData>
    <row r="2" spans="2:15" ht="15.75" thickBot="1" x14ac:dyDescent="0.3"/>
    <row r="3" spans="2:15" ht="15.75" thickBot="1" x14ac:dyDescent="0.3">
      <c r="B3" s="64" t="s">
        <v>191</v>
      </c>
      <c r="C3" s="276"/>
      <c r="D3" s="79"/>
      <c r="F3" s="44" t="s">
        <v>5</v>
      </c>
      <c r="G3" s="45"/>
      <c r="H3" s="46"/>
      <c r="I3" s="46"/>
      <c r="J3" s="46"/>
      <c r="K3" s="46"/>
      <c r="L3" s="46"/>
      <c r="M3" s="46"/>
      <c r="N3" s="47"/>
      <c r="O3" s="48" t="s">
        <v>245</v>
      </c>
    </row>
    <row r="4" spans="2:15" x14ac:dyDescent="0.25">
      <c r="B4" s="194" t="s">
        <v>2</v>
      </c>
      <c r="C4" s="277">
        <v>2</v>
      </c>
      <c r="D4" s="198"/>
      <c r="F4" s="49" t="s">
        <v>237</v>
      </c>
      <c r="G4" s="190">
        <v>1314.2</v>
      </c>
      <c r="I4" s="50" t="s">
        <v>147</v>
      </c>
      <c r="J4" s="50"/>
      <c r="N4" s="51"/>
    </row>
    <row r="5" spans="2:15" x14ac:dyDescent="0.25">
      <c r="B5" s="42" t="s">
        <v>222</v>
      </c>
      <c r="C5" s="278">
        <v>18</v>
      </c>
      <c r="D5" s="278"/>
      <c r="E5" s="206"/>
      <c r="F5" s="49" t="s">
        <v>238</v>
      </c>
      <c r="G5" s="190">
        <f>G4/2</f>
        <v>657.1</v>
      </c>
      <c r="I5" s="43" t="s">
        <v>8</v>
      </c>
      <c r="N5" s="51"/>
    </row>
    <row r="6" spans="2:15" ht="15.75" thickBot="1" x14ac:dyDescent="0.3">
      <c r="B6" s="42" t="s">
        <v>223</v>
      </c>
      <c r="C6" s="278">
        <v>15</v>
      </c>
      <c r="D6" s="278"/>
      <c r="F6" s="65" t="s">
        <v>236</v>
      </c>
      <c r="G6" s="69"/>
      <c r="H6" s="69"/>
      <c r="I6" s="69"/>
      <c r="J6" s="69"/>
      <c r="K6" s="69"/>
      <c r="L6" s="69"/>
      <c r="M6" s="69"/>
      <c r="N6" s="192"/>
    </row>
    <row r="7" spans="2:15" x14ac:dyDescent="0.25">
      <c r="B7" s="42" t="s">
        <v>224</v>
      </c>
      <c r="C7" s="278"/>
      <c r="D7" s="278"/>
      <c r="F7" s="49"/>
      <c r="G7" s="52" t="s">
        <v>9</v>
      </c>
      <c r="H7" s="53"/>
      <c r="J7" s="52" t="s">
        <v>244</v>
      </c>
      <c r="K7" s="53"/>
      <c r="M7" s="52" t="s">
        <v>233</v>
      </c>
      <c r="N7" s="53"/>
    </row>
    <row r="8" spans="2:15" ht="15.75" thickBot="1" x14ac:dyDescent="0.3">
      <c r="B8" s="42" t="s">
        <v>225</v>
      </c>
      <c r="C8" s="278"/>
      <c r="D8" s="278"/>
      <c r="F8" s="49"/>
      <c r="G8" s="54" t="s">
        <v>87</v>
      </c>
      <c r="H8" s="55"/>
      <c r="I8" s="191"/>
      <c r="J8" s="54" t="s">
        <v>87</v>
      </c>
      <c r="K8" s="56"/>
      <c r="L8" s="191"/>
      <c r="M8" s="54" t="s">
        <v>87</v>
      </c>
      <c r="N8" s="56"/>
    </row>
    <row r="9" spans="2:15" ht="15.75" thickBot="1" x14ac:dyDescent="0.3">
      <c r="F9" s="49"/>
      <c r="G9" s="57" t="s">
        <v>125</v>
      </c>
      <c r="H9" s="58" t="s">
        <v>126</v>
      </c>
      <c r="I9" s="191"/>
      <c r="J9" s="57" t="s">
        <v>125</v>
      </c>
      <c r="K9" s="58" t="s">
        <v>126</v>
      </c>
      <c r="L9" s="191"/>
      <c r="M9" s="59" t="s">
        <v>13</v>
      </c>
      <c r="N9" s="60"/>
    </row>
    <row r="10" spans="2:15" ht="15.75" thickBot="1" x14ac:dyDescent="0.3">
      <c r="B10" s="64" t="s">
        <v>89</v>
      </c>
      <c r="C10" s="279">
        <f>C11+C12-C13</f>
        <v>2842.9</v>
      </c>
      <c r="D10" s="79"/>
      <c r="F10" s="49" t="s">
        <v>14</v>
      </c>
      <c r="G10" s="61">
        <v>0.5</v>
      </c>
      <c r="H10" s="62">
        <v>0.5</v>
      </c>
      <c r="I10" s="63"/>
      <c r="J10" s="61">
        <v>0.5</v>
      </c>
      <c r="K10" s="62">
        <v>0.5</v>
      </c>
      <c r="M10" s="61"/>
      <c r="N10" s="62"/>
    </row>
    <row r="11" spans="2:15" x14ac:dyDescent="0.25">
      <c r="B11" s="42" t="s">
        <v>118</v>
      </c>
      <c r="C11" s="280">
        <v>3500</v>
      </c>
      <c r="D11" s="188"/>
      <c r="F11" s="49" t="s">
        <v>15</v>
      </c>
      <c r="G11" s="61">
        <v>0.44650000000000001</v>
      </c>
      <c r="H11" s="62">
        <v>0.55349999999999999</v>
      </c>
      <c r="I11" s="63"/>
      <c r="J11" s="61">
        <v>0.5</v>
      </c>
      <c r="K11" s="62">
        <v>0.5</v>
      </c>
      <c r="M11" s="61"/>
      <c r="N11" s="62"/>
    </row>
    <row r="12" spans="2:15" x14ac:dyDescent="0.25">
      <c r="B12" s="42" t="s">
        <v>226</v>
      </c>
      <c r="C12" s="280">
        <v>0</v>
      </c>
      <c r="D12" s="188"/>
      <c r="F12" s="49" t="s">
        <v>16</v>
      </c>
      <c r="G12" s="61">
        <v>0.39579999999999999</v>
      </c>
      <c r="H12" s="62">
        <v>0.60419999999999996</v>
      </c>
      <c r="I12" s="63"/>
      <c r="J12" s="61">
        <v>0.15</v>
      </c>
      <c r="K12" s="62">
        <v>0.85</v>
      </c>
      <c r="M12" s="61"/>
      <c r="N12" s="62"/>
    </row>
    <row r="13" spans="2:15" x14ac:dyDescent="0.25">
      <c r="B13" s="42" t="s">
        <v>211</v>
      </c>
      <c r="C13" s="280">
        <v>657.1</v>
      </c>
      <c r="D13" s="188"/>
      <c r="F13" s="49" t="s">
        <v>17</v>
      </c>
      <c r="G13" s="61">
        <v>0.34520000000000001</v>
      </c>
      <c r="H13" s="62">
        <v>0.65480000000000005</v>
      </c>
      <c r="I13" s="63"/>
      <c r="J13" s="61">
        <v>0.15</v>
      </c>
      <c r="K13" s="62">
        <v>0.85</v>
      </c>
      <c r="M13" s="61"/>
      <c r="N13" s="62"/>
    </row>
    <row r="14" spans="2:15" ht="15.75" thickBot="1" x14ac:dyDescent="0.3">
      <c r="B14" s="48"/>
      <c r="F14" s="49" t="s">
        <v>18</v>
      </c>
      <c r="G14" s="61">
        <v>0.29449999999999998</v>
      </c>
      <c r="H14" s="62">
        <v>0.70550000000000002</v>
      </c>
      <c r="I14" s="63"/>
      <c r="J14" s="61">
        <v>0.05</v>
      </c>
      <c r="K14" s="62">
        <v>0.95</v>
      </c>
      <c r="M14" s="61"/>
      <c r="N14" s="62"/>
    </row>
    <row r="15" spans="2:15" ht="15.75" thickBot="1" x14ac:dyDescent="0.3">
      <c r="B15" s="64" t="s">
        <v>90</v>
      </c>
      <c r="C15" s="279">
        <f>C16+C17-C18</f>
        <v>85.799999999999955</v>
      </c>
      <c r="D15" s="79"/>
      <c r="F15" s="65" t="s">
        <v>19</v>
      </c>
      <c r="G15" s="66">
        <v>0.24379999999999999</v>
      </c>
      <c r="H15" s="67">
        <v>0.75619999999999998</v>
      </c>
      <c r="I15" s="68"/>
      <c r="J15" s="66">
        <v>0.05</v>
      </c>
      <c r="K15" s="67">
        <v>0.95</v>
      </c>
      <c r="L15" s="69"/>
      <c r="M15" s="66"/>
      <c r="N15" s="67"/>
    </row>
    <row r="16" spans="2:15" ht="15.75" thickBot="1" x14ac:dyDescent="0.3">
      <c r="B16" s="42" t="s">
        <v>118</v>
      </c>
      <c r="C16" s="280">
        <v>1400</v>
      </c>
      <c r="D16" s="188"/>
      <c r="G16" s="63"/>
      <c r="H16" s="63"/>
      <c r="I16" s="63"/>
      <c r="J16" s="63"/>
      <c r="K16" s="63"/>
      <c r="M16" s="63"/>
      <c r="N16" s="63"/>
    </row>
    <row r="17" spans="2:14" x14ac:dyDescent="0.25">
      <c r="B17" s="42" t="s">
        <v>226</v>
      </c>
      <c r="C17" s="280">
        <v>0</v>
      </c>
      <c r="D17" s="188"/>
      <c r="F17" s="70" t="s">
        <v>146</v>
      </c>
      <c r="G17" s="71">
        <v>350</v>
      </c>
      <c r="H17" s="72"/>
      <c r="I17" s="72"/>
      <c r="J17" s="72"/>
      <c r="K17" s="72"/>
      <c r="L17" s="73"/>
      <c r="M17" s="72"/>
      <c r="N17" s="74"/>
    </row>
    <row r="18" spans="2:14" x14ac:dyDescent="0.25">
      <c r="B18" s="42" t="s">
        <v>211</v>
      </c>
      <c r="C18" s="280">
        <v>1314.2</v>
      </c>
      <c r="D18" s="188"/>
      <c r="F18" s="75" t="s">
        <v>24</v>
      </c>
      <c r="G18" s="76">
        <v>100</v>
      </c>
      <c r="H18" s="63"/>
      <c r="I18" s="63"/>
      <c r="J18" s="63"/>
      <c r="K18" s="63"/>
      <c r="M18" s="63"/>
      <c r="N18" s="62"/>
    </row>
    <row r="19" spans="2:14" ht="15.75" thickBot="1" x14ac:dyDescent="0.3">
      <c r="F19" s="77" t="s">
        <v>26</v>
      </c>
      <c r="G19" s="78">
        <v>100</v>
      </c>
      <c r="H19" s="68"/>
      <c r="I19" s="68"/>
      <c r="J19" s="68"/>
      <c r="K19" s="68"/>
      <c r="L19" s="69"/>
      <c r="M19" s="68"/>
      <c r="N19" s="67"/>
    </row>
    <row r="20" spans="2:14" ht="15.75" thickBot="1" x14ac:dyDescent="0.3">
      <c r="B20" s="64" t="s">
        <v>86</v>
      </c>
      <c r="C20" s="279"/>
      <c r="D20" s="79"/>
    </row>
    <row r="21" spans="2:14" x14ac:dyDescent="0.25">
      <c r="B21" s="294" t="s">
        <v>119</v>
      </c>
      <c r="C21" s="281">
        <v>0.19789999999999999</v>
      </c>
      <c r="D21" s="199"/>
    </row>
    <row r="22" spans="2:14" x14ac:dyDescent="0.25">
      <c r="B22" s="294" t="s">
        <v>120</v>
      </c>
      <c r="C22" s="281">
        <v>7.4999999999999997E-2</v>
      </c>
      <c r="D22" s="199"/>
    </row>
    <row r="23" spans="2:14" x14ac:dyDescent="0.25">
      <c r="B23" s="294" t="s">
        <v>121</v>
      </c>
      <c r="C23" s="295">
        <f>100%-C21</f>
        <v>0.80210000000000004</v>
      </c>
      <c r="D23" s="80"/>
    </row>
    <row r="24" spans="2:14" x14ac:dyDescent="0.25">
      <c r="B24" s="294" t="s">
        <v>122</v>
      </c>
      <c r="C24" s="295">
        <f>100%-C22</f>
        <v>0.92500000000000004</v>
      </c>
      <c r="D24" s="80"/>
    </row>
    <row r="25" spans="2:14" ht="15.75" thickBot="1" x14ac:dyDescent="0.3">
      <c r="B25" s="106"/>
      <c r="C25" s="296"/>
    </row>
    <row r="26" spans="2:14" ht="15.75" thickBot="1" x14ac:dyDescent="0.3">
      <c r="B26" s="64" t="s">
        <v>111</v>
      </c>
      <c r="C26" s="195">
        <f>SUM(C28:D39)</f>
        <v>468.18</v>
      </c>
      <c r="D26" s="79"/>
      <c r="F26" s="43" t="s">
        <v>231</v>
      </c>
    </row>
    <row r="27" spans="2:14" x14ac:dyDescent="0.25">
      <c r="B27" s="81" t="s">
        <v>95</v>
      </c>
      <c r="F27" s="43" t="s">
        <v>232</v>
      </c>
    </row>
    <row r="28" spans="2:14" x14ac:dyDescent="0.25">
      <c r="B28" s="42" t="s">
        <v>227</v>
      </c>
      <c r="C28" s="280">
        <v>0</v>
      </c>
      <c r="D28" s="280">
        <v>0</v>
      </c>
    </row>
    <row r="29" spans="2:14" x14ac:dyDescent="0.25">
      <c r="B29" s="42" t="s">
        <v>228</v>
      </c>
      <c r="C29" s="280">
        <v>0</v>
      </c>
      <c r="D29" s="280">
        <v>0</v>
      </c>
    </row>
    <row r="30" spans="2:14" x14ac:dyDescent="0.25">
      <c r="B30" s="42" t="s">
        <v>229</v>
      </c>
      <c r="C30" s="280">
        <v>0</v>
      </c>
      <c r="D30" s="280">
        <v>0</v>
      </c>
    </row>
    <row r="31" spans="2:14" x14ac:dyDescent="0.25">
      <c r="B31" s="42" t="s">
        <v>230</v>
      </c>
      <c r="C31" s="280">
        <v>0</v>
      </c>
      <c r="D31" s="280">
        <v>0</v>
      </c>
    </row>
    <row r="33" spans="2:14" x14ac:dyDescent="0.25">
      <c r="B33" s="81" t="s">
        <v>96</v>
      </c>
      <c r="C33" s="188"/>
      <c r="D33" s="188"/>
      <c r="E33" s="203"/>
    </row>
    <row r="34" spans="2:14" x14ac:dyDescent="0.25">
      <c r="B34" s="42" t="s">
        <v>227</v>
      </c>
      <c r="C34" s="280">
        <v>234.09</v>
      </c>
      <c r="D34" s="280">
        <v>0</v>
      </c>
      <c r="E34" s="189"/>
      <c r="F34" s="43" t="s">
        <v>142</v>
      </c>
    </row>
    <row r="35" spans="2:14" x14ac:dyDescent="0.25">
      <c r="B35" s="42" t="s">
        <v>228</v>
      </c>
      <c r="C35" s="280">
        <v>234.09</v>
      </c>
      <c r="D35" s="280">
        <v>0</v>
      </c>
      <c r="F35" s="43" t="s">
        <v>143</v>
      </c>
    </row>
    <row r="36" spans="2:14" x14ac:dyDescent="0.25">
      <c r="B36" s="42" t="s">
        <v>229</v>
      </c>
      <c r="C36" s="280">
        <v>0</v>
      </c>
      <c r="D36" s="280">
        <v>0</v>
      </c>
      <c r="F36" s="43" t="s">
        <v>144</v>
      </c>
      <c r="J36" s="82"/>
      <c r="K36" s="82"/>
      <c r="L36" s="83"/>
      <c r="M36" s="83"/>
      <c r="N36" s="83"/>
    </row>
    <row r="37" spans="2:14" x14ac:dyDescent="0.25">
      <c r="B37" s="42" t="s">
        <v>230</v>
      </c>
      <c r="C37" s="280">
        <v>0</v>
      </c>
      <c r="D37" s="280">
        <v>0</v>
      </c>
      <c r="F37" s="43" t="s">
        <v>145</v>
      </c>
      <c r="J37" s="84"/>
      <c r="K37" s="82"/>
      <c r="L37" s="85"/>
      <c r="M37" s="83"/>
      <c r="N37" s="83"/>
    </row>
    <row r="38" spans="2:14" x14ac:dyDescent="0.25">
      <c r="J38" s="82"/>
      <c r="K38" s="82"/>
      <c r="L38" s="83"/>
      <c r="M38" s="83"/>
      <c r="N38" s="83"/>
    </row>
    <row r="39" spans="2:14" x14ac:dyDescent="0.25">
      <c r="B39" s="81" t="s">
        <v>88</v>
      </c>
      <c r="C39" s="280">
        <v>0</v>
      </c>
      <c r="D39" s="188"/>
      <c r="J39" s="82"/>
      <c r="K39" s="82"/>
      <c r="L39" s="83"/>
      <c r="M39" s="83"/>
      <c r="N39" s="86"/>
    </row>
    <row r="42" spans="2:14" x14ac:dyDescent="0.25">
      <c r="E42" s="206"/>
    </row>
  </sheetData>
  <sheetProtection algorithmName="SHA-512" hashValue="dohhhsVgEyswg5sgmUSaieIYnitlJc8ZhrZZo+Raz4tGrPRGaaPyXgTbzrtS9F9/OUNm3xvsuCLgcJG1/5t7JA==" saltValue="wSo+IB0LZXQfLX3gWullUA==" spinCount="100000" sheet="1" selectLockedCells="1"/>
  <dataValidations count="1">
    <dataValidation type="whole" allowBlank="1" showInputMessage="1" showErrorMessage="1" errorTitle="Leeftijdsbereik" error="De leeftijd moet gelegen zijn tussen 0 en 24 jaar.  Ingeval het kind ouder is dan 24 dient u als leeftijd 24 in te vullen." sqref="C5:D8" xr:uid="{FCE33E0D-06F7-4B88-BF99-838E36988204}">
      <formula1>0</formula1>
      <formula2>24</formula2>
    </dataValidation>
  </dataValidations>
  <pageMargins left="0.7" right="0.7" top="0.75" bottom="0.75" header="0.3" footer="0.3"/>
  <pageSetup paperSize="9" scale="6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D071-D545-4E98-8602-CBB817D4D06A}">
  <sheetPr>
    <tabColor rgb="FFFFC000"/>
    <pageSetUpPr fitToPage="1"/>
  </sheetPr>
  <dimension ref="B1:P62"/>
  <sheetViews>
    <sheetView showGridLines="0" workbookViewId="0">
      <selection activeCell="C28" sqref="C28"/>
    </sheetView>
  </sheetViews>
  <sheetFormatPr defaultColWidth="8.85546875" defaultRowHeight="15" x14ac:dyDescent="0.25"/>
  <cols>
    <col min="1" max="1" width="8.85546875" style="42"/>
    <col min="2" max="2" width="65.42578125" style="42" customWidth="1"/>
    <col min="3" max="3" width="12.85546875" style="42" customWidth="1"/>
    <col min="4" max="4" width="9.42578125" style="42" customWidth="1"/>
    <col min="5" max="5" width="10.85546875" style="42" customWidth="1"/>
    <col min="6" max="6" width="9.42578125" style="42" customWidth="1"/>
    <col min="7" max="7" width="8.85546875" style="42"/>
    <col min="8" max="8" width="35.7109375" style="42" customWidth="1"/>
    <col min="9" max="9" width="9.42578125" style="42" customWidth="1"/>
    <col min="10" max="10" width="10.85546875" style="42" customWidth="1"/>
    <col min="11" max="11" width="2.42578125" style="42" customWidth="1"/>
    <col min="12" max="12" width="10.7109375" style="42" customWidth="1"/>
    <col min="13" max="13" width="12.7109375" style="42" customWidth="1"/>
    <col min="14" max="14" width="2.42578125" style="42" customWidth="1"/>
    <col min="15" max="15" width="8.85546875" style="42"/>
    <col min="16" max="16" width="12.7109375" style="42" bestFit="1" customWidth="1"/>
    <col min="17" max="16384" width="8.85546875" style="42"/>
  </cols>
  <sheetData>
    <row r="1" spans="2:16" x14ac:dyDescent="0.25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6" ht="15.75" thickBot="1" x14ac:dyDescent="0.3">
      <c r="B2" s="291"/>
      <c r="C2" s="41"/>
      <c r="E2" s="43"/>
      <c r="F2" s="43"/>
      <c r="G2" s="43"/>
      <c r="H2" s="43"/>
      <c r="I2" s="43"/>
      <c r="J2" s="43"/>
      <c r="K2" s="43"/>
      <c r="L2" s="43"/>
      <c r="M2" s="43"/>
    </row>
    <row r="3" spans="2:16" ht="15.75" thickBot="1" x14ac:dyDescent="0.3">
      <c r="B3" s="64" t="s">
        <v>83</v>
      </c>
      <c r="C3" s="87"/>
      <c r="D3" s="87"/>
      <c r="E3" s="87"/>
      <c r="F3" s="88"/>
      <c r="G3" s="48"/>
      <c r="H3" s="48"/>
      <c r="P3" s="48" t="str">
        <f>'Input parameters'!O3</f>
        <v>update leefloon 02.2025</v>
      </c>
    </row>
    <row r="4" spans="2:16" ht="15.75" thickBot="1" x14ac:dyDescent="0.3"/>
    <row r="5" spans="2:16" ht="15.75" thickBot="1" x14ac:dyDescent="0.3">
      <c r="B5" s="64" t="s">
        <v>0</v>
      </c>
      <c r="C5" s="87"/>
      <c r="D5" s="87"/>
      <c r="E5" s="87"/>
      <c r="F5" s="88"/>
      <c r="H5" s="64" t="s">
        <v>1</v>
      </c>
      <c r="I5" s="89"/>
      <c r="J5" s="87"/>
      <c r="K5" s="87"/>
      <c r="L5" s="87"/>
      <c r="M5" s="87"/>
      <c r="N5" s="87"/>
      <c r="O5" s="87"/>
      <c r="P5" s="88"/>
    </row>
    <row r="6" spans="2:16" x14ac:dyDescent="0.25">
      <c r="B6" s="90" t="s">
        <v>2</v>
      </c>
      <c r="C6" s="91">
        <f>'Input parameters'!C4</f>
        <v>2</v>
      </c>
      <c r="F6" s="92"/>
      <c r="H6" s="93" t="s">
        <v>3</v>
      </c>
      <c r="I6" s="94" t="s">
        <v>4</v>
      </c>
      <c r="J6" s="200" t="s">
        <v>153</v>
      </c>
      <c r="P6" s="92"/>
    </row>
    <row r="7" spans="2:16" x14ac:dyDescent="0.25">
      <c r="B7" s="90" t="s">
        <v>127</v>
      </c>
      <c r="C7" s="95">
        <f>'Input parameters'!C11</f>
        <v>3500</v>
      </c>
      <c r="F7" s="92"/>
      <c r="H7" s="96">
        <v>1</v>
      </c>
      <c r="I7" s="97">
        <f>'Input parameters'!C5</f>
        <v>18</v>
      </c>
      <c r="J7" s="201">
        <f>'IGAK 2025'!L53</f>
        <v>721.0002558000001</v>
      </c>
      <c r="M7" s="98"/>
      <c r="N7" s="99"/>
      <c r="P7" s="92"/>
    </row>
    <row r="8" spans="2:16" x14ac:dyDescent="0.25">
      <c r="B8" s="90" t="s">
        <v>215</v>
      </c>
      <c r="C8" s="95">
        <f>'Input parameters'!C12</f>
        <v>0</v>
      </c>
      <c r="F8" s="92"/>
      <c r="H8" s="96">
        <v>2</v>
      </c>
      <c r="I8" s="97">
        <f>'Input parameters'!C6</f>
        <v>15</v>
      </c>
      <c r="J8" s="201">
        <f>'IGAK 2025'!L54</f>
        <v>688.22751690000007</v>
      </c>
      <c r="M8" s="98"/>
      <c r="N8" s="99"/>
      <c r="P8" s="92"/>
    </row>
    <row r="9" spans="2:16" x14ac:dyDescent="0.25">
      <c r="B9" s="90" t="s">
        <v>212</v>
      </c>
      <c r="C9" s="95">
        <f>'Input parameters'!C13</f>
        <v>657.1</v>
      </c>
      <c r="F9" s="92"/>
      <c r="H9" s="96">
        <v>3</v>
      </c>
      <c r="I9" s="97">
        <f>'Input parameters'!C7</f>
        <v>0</v>
      </c>
      <c r="J9" s="201">
        <f>'IGAK 2025'!L55</f>
        <v>0</v>
      </c>
      <c r="M9" s="98"/>
      <c r="N9" s="99"/>
      <c r="P9" s="92"/>
    </row>
    <row r="10" spans="2:16" x14ac:dyDescent="0.25">
      <c r="B10" s="100" t="s">
        <v>128</v>
      </c>
      <c r="C10" s="101">
        <f>C7+C8-C9</f>
        <v>2842.9</v>
      </c>
      <c r="F10" s="92"/>
      <c r="H10" s="96">
        <v>4</v>
      </c>
      <c r="I10" s="97">
        <f>'Input parameters'!C8</f>
        <v>0</v>
      </c>
      <c r="J10" s="201">
        <f>'IGAK 2025'!L56</f>
        <v>0</v>
      </c>
      <c r="M10" s="98"/>
      <c r="N10" s="99"/>
      <c r="P10" s="92"/>
    </row>
    <row r="11" spans="2:16" x14ac:dyDescent="0.25">
      <c r="B11" s="90" t="s">
        <v>129</v>
      </c>
      <c r="C11" s="95">
        <f>'Input parameters'!C16</f>
        <v>1400</v>
      </c>
      <c r="F11" s="92"/>
      <c r="H11" s="96">
        <v>5</v>
      </c>
      <c r="I11" s="97">
        <f>'Input parameters'!D5</f>
        <v>0</v>
      </c>
      <c r="J11" s="201">
        <f>'IGAK 2025'!L57</f>
        <v>0</v>
      </c>
      <c r="P11" s="92"/>
    </row>
    <row r="12" spans="2:16" ht="14.1" customHeight="1" x14ac:dyDescent="0.25">
      <c r="B12" s="90" t="s">
        <v>215</v>
      </c>
      <c r="C12" s="102">
        <f>'Input parameters'!C17</f>
        <v>0</v>
      </c>
      <c r="F12" s="92"/>
      <c r="H12" s="96">
        <v>6</v>
      </c>
      <c r="I12" s="97">
        <f>'Input parameters'!D6</f>
        <v>0</v>
      </c>
      <c r="J12" s="201">
        <f>'IGAK 2025'!L58</f>
        <v>0</v>
      </c>
      <c r="L12" s="42" t="s">
        <v>154</v>
      </c>
      <c r="P12" s="92"/>
    </row>
    <row r="13" spans="2:16" x14ac:dyDescent="0.25">
      <c r="B13" s="90" t="s">
        <v>239</v>
      </c>
      <c r="C13" s="95">
        <f>'Input parameters'!C18</f>
        <v>1314.2</v>
      </c>
      <c r="F13" s="92"/>
      <c r="H13" s="96">
        <v>7</v>
      </c>
      <c r="I13" s="97">
        <f>'Input parameters'!D7</f>
        <v>0</v>
      </c>
      <c r="J13" s="201">
        <f>'IGAK 2025'!L59</f>
        <v>0</v>
      </c>
      <c r="P13" s="92"/>
    </row>
    <row r="14" spans="2:16" x14ac:dyDescent="0.25">
      <c r="B14" s="100" t="s">
        <v>130</v>
      </c>
      <c r="C14" s="101">
        <f>C11+C12-C13</f>
        <v>85.799999999999955</v>
      </c>
      <c r="F14" s="92"/>
      <c r="H14" s="96">
        <v>8</v>
      </c>
      <c r="I14" s="97">
        <f>'Input parameters'!D8</f>
        <v>0</v>
      </c>
      <c r="J14" s="201">
        <f>'IGAK 2025'!L60</f>
        <v>0</v>
      </c>
      <c r="P14" s="92"/>
    </row>
    <row r="15" spans="2:16" ht="15.75" thickBot="1" x14ac:dyDescent="0.3">
      <c r="B15" s="90" t="s">
        <v>131</v>
      </c>
      <c r="C15" s="80">
        <f>(C7+C8)/(C7+C8+C11+C12)</f>
        <v>0.7142857142857143</v>
      </c>
      <c r="F15" s="92"/>
      <c r="H15" s="104"/>
      <c r="I15" s="105"/>
      <c r="J15" s="208">
        <f>'IGAK 2025'!L61</f>
        <v>1409.2277727000001</v>
      </c>
      <c r="K15" s="106"/>
      <c r="L15" s="106"/>
      <c r="M15" s="106"/>
      <c r="N15" s="106"/>
      <c r="O15" s="106"/>
      <c r="P15" s="107"/>
    </row>
    <row r="16" spans="2:16" ht="15.75" thickBot="1" x14ac:dyDescent="0.3">
      <c r="B16" s="100" t="s">
        <v>132</v>
      </c>
      <c r="C16" s="121">
        <f>C10/(C10+C14)</f>
        <v>0.9707037252023083</v>
      </c>
      <c r="F16" s="92"/>
      <c r="H16" s="109" t="s">
        <v>5</v>
      </c>
      <c r="I16" s="110"/>
      <c r="J16" s="111"/>
      <c r="K16" s="111"/>
      <c r="L16" s="111"/>
      <c r="M16" s="111"/>
      <c r="N16" s="111"/>
      <c r="O16" s="111"/>
      <c r="P16" s="112"/>
    </row>
    <row r="17" spans="2:16" x14ac:dyDescent="0.25">
      <c r="B17" s="90" t="s">
        <v>133</v>
      </c>
      <c r="C17" s="80">
        <f>100%-C15</f>
        <v>0.2857142857142857</v>
      </c>
      <c r="F17" s="92"/>
      <c r="H17" s="90" t="s">
        <v>6</v>
      </c>
      <c r="I17" s="113">
        <f>'Input parameters'!G4</f>
        <v>1314.2</v>
      </c>
      <c r="L17" s="114"/>
      <c r="P17" s="92"/>
    </row>
    <row r="18" spans="2:16" ht="15.75" thickBot="1" x14ac:dyDescent="0.3">
      <c r="B18" s="100" t="s">
        <v>134</v>
      </c>
      <c r="C18" s="121">
        <f>100%-C16</f>
        <v>2.9296274797691702E-2</v>
      </c>
      <c r="F18" s="92"/>
      <c r="H18" s="90" t="s">
        <v>7</v>
      </c>
      <c r="I18" s="113">
        <f>'Input parameters'!G5</f>
        <v>657.1</v>
      </c>
      <c r="K18" s="42" t="s">
        <v>8</v>
      </c>
      <c r="P18" s="92"/>
    </row>
    <row r="19" spans="2:16" x14ac:dyDescent="0.25">
      <c r="B19" s="90" t="s">
        <v>135</v>
      </c>
      <c r="C19" s="80">
        <f>'Input parameters'!C21</f>
        <v>0.19789999999999999</v>
      </c>
      <c r="F19" s="92"/>
      <c r="H19" s="90"/>
      <c r="I19" s="115" t="s">
        <v>9</v>
      </c>
      <c r="J19" s="116"/>
      <c r="L19" s="115" t="s">
        <v>244</v>
      </c>
      <c r="M19" s="116"/>
      <c r="O19" s="115" t="s">
        <v>10</v>
      </c>
      <c r="P19" s="116"/>
    </row>
    <row r="20" spans="2:16" ht="15.75" thickBot="1" x14ac:dyDescent="0.3">
      <c r="B20" s="90" t="s">
        <v>242</v>
      </c>
      <c r="C20" s="80">
        <f>'Input parameters'!C22</f>
        <v>7.4999999999999997E-2</v>
      </c>
      <c r="F20" s="92"/>
      <c r="H20" s="90"/>
      <c r="I20" s="117"/>
      <c r="J20" s="118"/>
      <c r="K20" s="103"/>
      <c r="L20" s="119"/>
      <c r="M20" s="120"/>
      <c r="N20" s="103"/>
      <c r="O20" s="119"/>
      <c r="P20" s="120"/>
    </row>
    <row r="21" spans="2:16" x14ac:dyDescent="0.25">
      <c r="B21" s="100" t="s">
        <v>136</v>
      </c>
      <c r="C21" s="121">
        <f>(C19+C20)/2</f>
        <v>0.13644999999999999</v>
      </c>
      <c r="F21" s="92"/>
      <c r="H21" s="90"/>
      <c r="I21" s="122" t="s">
        <v>125</v>
      </c>
      <c r="J21" s="123" t="s">
        <v>126</v>
      </c>
      <c r="K21" s="103"/>
      <c r="L21" s="122" t="s">
        <v>125</v>
      </c>
      <c r="M21" s="123" t="s">
        <v>126</v>
      </c>
      <c r="N21" s="103"/>
      <c r="O21" s="124" t="s">
        <v>13</v>
      </c>
      <c r="P21" s="125"/>
    </row>
    <row r="22" spans="2:16" x14ac:dyDescent="0.25">
      <c r="B22" s="90" t="s">
        <v>240</v>
      </c>
      <c r="C22" s="80">
        <f>'Input parameters'!C23</f>
        <v>0.80210000000000004</v>
      </c>
      <c r="F22" s="92"/>
      <c r="H22" s="90" t="s">
        <v>14</v>
      </c>
      <c r="I22" s="126">
        <v>0.5</v>
      </c>
      <c r="J22" s="127">
        <v>0.5</v>
      </c>
      <c r="K22" s="80"/>
      <c r="L22" s="126">
        <v>0.5</v>
      </c>
      <c r="M22" s="127">
        <v>0.5</v>
      </c>
      <c r="O22" s="126"/>
      <c r="P22" s="127"/>
    </row>
    <row r="23" spans="2:16" x14ac:dyDescent="0.25">
      <c r="B23" s="90" t="s">
        <v>243</v>
      </c>
      <c r="C23" s="80">
        <f>'Input parameters'!C24</f>
        <v>0.92500000000000004</v>
      </c>
      <c r="F23" s="92"/>
      <c r="H23" s="90" t="s">
        <v>15</v>
      </c>
      <c r="I23" s="126">
        <v>0.44650000000000001</v>
      </c>
      <c r="J23" s="127">
        <v>0.55349999999999999</v>
      </c>
      <c r="K23" s="80"/>
      <c r="L23" s="126">
        <v>0.5</v>
      </c>
      <c r="M23" s="127">
        <v>0.5</v>
      </c>
      <c r="O23" s="126"/>
      <c r="P23" s="127"/>
    </row>
    <row r="24" spans="2:16" x14ac:dyDescent="0.25">
      <c r="B24" s="100" t="s">
        <v>137</v>
      </c>
      <c r="C24" s="121">
        <f>SUM(C22:C23)/2</f>
        <v>0.86355000000000004</v>
      </c>
      <c r="F24" s="92"/>
      <c r="H24" s="90" t="s">
        <v>16</v>
      </c>
      <c r="I24" s="126">
        <v>0.39579999999999999</v>
      </c>
      <c r="J24" s="127">
        <v>0.60419999999999996</v>
      </c>
      <c r="K24" s="80"/>
      <c r="L24" s="126">
        <v>0.15</v>
      </c>
      <c r="M24" s="127">
        <v>0.85</v>
      </c>
      <c r="O24" s="126"/>
      <c r="P24" s="127"/>
    </row>
    <row r="25" spans="2:16" x14ac:dyDescent="0.25">
      <c r="B25" s="90" t="s">
        <v>234</v>
      </c>
      <c r="C25" s="95">
        <f>'Input parameters'!C26+'Input parameters'!C12+'Input parameters'!C17</f>
        <v>468.18</v>
      </c>
      <c r="D25" s="128"/>
      <c r="E25" s="128"/>
      <c r="F25" s="129"/>
      <c r="H25" s="90" t="s">
        <v>17</v>
      </c>
      <c r="I25" s="126">
        <v>0.34520000000000001</v>
      </c>
      <c r="J25" s="127">
        <v>0.65480000000000005</v>
      </c>
      <c r="K25" s="80"/>
      <c r="L25" s="126">
        <v>0.15</v>
      </c>
      <c r="M25" s="127">
        <v>0.85</v>
      </c>
      <c r="O25" s="126"/>
      <c r="P25" s="127"/>
    </row>
    <row r="26" spans="2:16" x14ac:dyDescent="0.25">
      <c r="B26" s="90" t="s">
        <v>235</v>
      </c>
      <c r="C26" s="99">
        <f>'Input parameters'!C26</f>
        <v>468.18</v>
      </c>
      <c r="F26" s="92"/>
      <c r="H26" s="90" t="s">
        <v>18</v>
      </c>
      <c r="I26" s="126">
        <v>0.29449999999999998</v>
      </c>
      <c r="J26" s="127">
        <v>0.70550000000000002</v>
      </c>
      <c r="K26" s="80"/>
      <c r="L26" s="126">
        <v>0.05</v>
      </c>
      <c r="M26" s="127">
        <v>0.95</v>
      </c>
      <c r="O26" s="126"/>
      <c r="P26" s="127"/>
    </row>
    <row r="27" spans="2:16" x14ac:dyDescent="0.25">
      <c r="B27" s="90" t="s">
        <v>241</v>
      </c>
      <c r="C27" s="99">
        <f>IF(C7+C8+C11+C26+C12&lt;10000,C7+C8+C11+C26+C12,10000)</f>
        <v>5368.18</v>
      </c>
      <c r="F27" s="92"/>
      <c r="H27" s="90" t="s">
        <v>19</v>
      </c>
      <c r="I27" s="126">
        <v>0.24379999999999999</v>
      </c>
      <c r="J27" s="127">
        <v>0.75619999999999998</v>
      </c>
      <c r="K27" s="80"/>
      <c r="L27" s="126">
        <v>0.05</v>
      </c>
      <c r="M27" s="127">
        <v>0.95</v>
      </c>
      <c r="O27" s="126"/>
      <c r="P27" s="127"/>
    </row>
    <row r="28" spans="2:16" ht="15.75" thickBot="1" x14ac:dyDescent="0.3">
      <c r="B28" s="104" t="s">
        <v>20</v>
      </c>
      <c r="C28" s="130">
        <f>F28</f>
        <v>1409.2277727000003</v>
      </c>
      <c r="D28" s="106"/>
      <c r="E28" s="131">
        <f>'IGAK 2025'!K61</f>
        <v>0.26251500000000005</v>
      </c>
      <c r="F28" s="132">
        <f>C27*E28</f>
        <v>1409.2277727000003</v>
      </c>
      <c r="H28" s="104"/>
      <c r="I28" s="133"/>
      <c r="J28" s="134"/>
      <c r="K28" s="135"/>
      <c r="L28" s="133"/>
      <c r="M28" s="134"/>
      <c r="N28" s="106"/>
      <c r="O28" s="133"/>
      <c r="P28" s="134"/>
    </row>
    <row r="29" spans="2:16" x14ac:dyDescent="0.25">
      <c r="C29" s="204" t="str">
        <f>IF(C28-F28&lt;&gt;0,"⇑ OPGELET: kosten kinder(en) werd manueel gewijzigd!","")</f>
        <v/>
      </c>
      <c r="E29" s="121"/>
      <c r="F29" s="99"/>
      <c r="I29" s="80"/>
      <c r="J29" s="80"/>
      <c r="K29" s="80"/>
      <c r="L29" s="80"/>
      <c r="M29" s="80"/>
      <c r="O29" s="80"/>
      <c r="P29" s="80"/>
    </row>
    <row r="30" spans="2:16" ht="15.75" thickBot="1" x14ac:dyDescent="0.3">
      <c r="C30" s="128"/>
      <c r="E30" s="121"/>
      <c r="F30" s="99"/>
      <c r="H30" s="98"/>
      <c r="I30" s="99"/>
      <c r="J30" s="80"/>
      <c r="K30" s="80"/>
      <c r="L30" s="80"/>
      <c r="M30" s="80"/>
      <c r="O30" s="80"/>
      <c r="P30" s="80"/>
    </row>
    <row r="31" spans="2:16" ht="15.75" thickBot="1" x14ac:dyDescent="0.3">
      <c r="B31" s="64" t="s">
        <v>213</v>
      </c>
      <c r="C31" s="87"/>
      <c r="D31" s="87"/>
      <c r="E31" s="87"/>
      <c r="F31" s="88"/>
      <c r="H31" s="98" t="s">
        <v>113</v>
      </c>
      <c r="I31" s="99"/>
      <c r="J31" s="80"/>
      <c r="K31" s="80"/>
      <c r="L31" s="80"/>
      <c r="M31" s="80"/>
      <c r="O31" s="80"/>
      <c r="P31" s="80"/>
    </row>
    <row r="32" spans="2:16" x14ac:dyDescent="0.25">
      <c r="B32" s="90" t="s">
        <v>22</v>
      </c>
      <c r="C32" s="95">
        <f>C28</f>
        <v>1409.2277727000003</v>
      </c>
      <c r="D32" s="207">
        <f>C28/C27</f>
        <v>0.26251500000000005</v>
      </c>
      <c r="E32" s="121">
        <f>E28</f>
        <v>0.26251500000000005</v>
      </c>
      <c r="F32" s="136">
        <f>F28</f>
        <v>1409.2277727000003</v>
      </c>
      <c r="H32" s="98" t="s">
        <v>115</v>
      </c>
      <c r="I32" s="99"/>
      <c r="J32" s="80"/>
      <c r="K32" s="80"/>
      <c r="L32" s="80"/>
      <c r="M32" s="80"/>
      <c r="O32" s="80"/>
      <c r="P32" s="80"/>
    </row>
    <row r="33" spans="2:8" x14ac:dyDescent="0.25">
      <c r="B33" s="90" t="s">
        <v>23</v>
      </c>
      <c r="C33" s="95"/>
      <c r="D33" s="95">
        <f>C32-SUM('Input parameters'!C28:D31)-SUM('Input parameters'!C34:D37)</f>
        <v>941.04777270000022</v>
      </c>
      <c r="E33" s="95"/>
      <c r="F33" s="92"/>
    </row>
    <row r="34" spans="2:8" x14ac:dyDescent="0.25">
      <c r="B34" s="90" t="s">
        <v>92</v>
      </c>
      <c r="C34" s="95"/>
      <c r="D34" s="95">
        <f>E34*D33</f>
        <v>913.47857855322525</v>
      </c>
      <c r="E34" s="80">
        <f>C16</f>
        <v>0.9707037252023083</v>
      </c>
      <c r="F34" s="92"/>
    </row>
    <row r="35" spans="2:8" x14ac:dyDescent="0.25">
      <c r="B35" s="90" t="s">
        <v>91</v>
      </c>
      <c r="C35" s="95"/>
      <c r="D35" s="95">
        <f>D33*E35</f>
        <v>27.569194146774926</v>
      </c>
      <c r="E35" s="80">
        <f>C18</f>
        <v>2.9296274797691702E-2</v>
      </c>
      <c r="F35" s="92"/>
    </row>
    <row r="36" spans="2:8" x14ac:dyDescent="0.25">
      <c r="B36" s="90"/>
      <c r="C36" s="95"/>
      <c r="D36" s="95"/>
      <c r="F36" s="92"/>
    </row>
    <row r="37" spans="2:8" x14ac:dyDescent="0.25">
      <c r="B37" s="90" t="s">
        <v>93</v>
      </c>
      <c r="C37" s="95">
        <f>C32*E37</f>
        <v>192.28912958491503</v>
      </c>
      <c r="D37" s="95"/>
      <c r="E37" s="80">
        <f>C21</f>
        <v>0.13644999999999999</v>
      </c>
      <c r="F37" s="92"/>
    </row>
    <row r="38" spans="2:8" x14ac:dyDescent="0.25">
      <c r="B38" s="90" t="s">
        <v>94</v>
      </c>
      <c r="C38" s="137">
        <f>C37+E38</f>
        <v>192.28912958491503</v>
      </c>
      <c r="D38" s="95"/>
      <c r="E38" s="95">
        <f>-SUM('Input parameters'!C28:D31)</f>
        <v>0</v>
      </c>
      <c r="F38" s="92"/>
    </row>
    <row r="39" spans="2:8" x14ac:dyDescent="0.25">
      <c r="B39" s="90" t="s">
        <v>98</v>
      </c>
      <c r="C39" s="95">
        <f>C32*E39</f>
        <v>1216.9386431150854</v>
      </c>
      <c r="D39" s="95"/>
      <c r="E39" s="80">
        <f>C24</f>
        <v>0.86355000000000004</v>
      </c>
      <c r="F39" s="92"/>
    </row>
    <row r="40" spans="2:8" x14ac:dyDescent="0.25">
      <c r="B40" s="90" t="s">
        <v>97</v>
      </c>
      <c r="C40" s="137">
        <f>C39+E40</f>
        <v>748.75864311508531</v>
      </c>
      <c r="D40" s="95"/>
      <c r="E40" s="95">
        <f>-SUM('Input parameters'!C34:D37)</f>
        <v>-468.18</v>
      </c>
      <c r="F40" s="138"/>
    </row>
    <row r="41" spans="2:8" x14ac:dyDescent="0.25">
      <c r="B41" s="90"/>
      <c r="D41" s="95"/>
      <c r="F41" s="92"/>
    </row>
    <row r="42" spans="2:8" ht="15.75" thickBot="1" x14ac:dyDescent="0.3">
      <c r="B42" s="139" t="s">
        <v>217</v>
      </c>
      <c r="C42" s="140">
        <f>D34-C38</f>
        <v>721.18944896831022</v>
      </c>
      <c r="D42" s="141" t="s">
        <v>99</v>
      </c>
      <c r="E42" s="140">
        <f>C42/'Input parameters'!C4</f>
        <v>360.59472448415511</v>
      </c>
      <c r="F42" s="142" t="s">
        <v>31</v>
      </c>
    </row>
    <row r="44" spans="2:8" ht="15.75" thickBot="1" x14ac:dyDescent="0.3">
      <c r="C44" s="41"/>
    </row>
    <row r="45" spans="2:8" ht="15.75" thickBot="1" x14ac:dyDescent="0.3">
      <c r="B45" s="64" t="s">
        <v>214</v>
      </c>
      <c r="C45" s="143"/>
      <c r="D45" s="143"/>
      <c r="E45" s="143"/>
      <c r="F45" s="144"/>
      <c r="H45" s="98" t="s">
        <v>114</v>
      </c>
    </row>
    <row r="46" spans="2:8" x14ac:dyDescent="0.25">
      <c r="B46" s="90" t="s">
        <v>22</v>
      </c>
      <c r="C46" s="95">
        <f>C28/2</f>
        <v>704.61388635000014</v>
      </c>
      <c r="D46" s="95"/>
      <c r="E46" s="121">
        <f>E28/2</f>
        <v>0.13125750000000003</v>
      </c>
      <c r="F46" s="136">
        <f>F28/2</f>
        <v>704.61388635000014</v>
      </c>
      <c r="H46" s="98" t="s">
        <v>117</v>
      </c>
    </row>
    <row r="47" spans="2:8" x14ac:dyDescent="0.25">
      <c r="B47" s="90" t="s">
        <v>23</v>
      </c>
      <c r="C47" s="95"/>
      <c r="D47" s="95">
        <f>C46-SUM('Input parameters'!C28:D31)-SUM('Input parameters'!C34:D37)</f>
        <v>236.43388635000014</v>
      </c>
      <c r="E47" s="95"/>
      <c r="F47" s="92"/>
      <c r="H47" s="98" t="s">
        <v>116</v>
      </c>
    </row>
    <row r="48" spans="2:8" x14ac:dyDescent="0.25">
      <c r="B48" s="90" t="s">
        <v>92</v>
      </c>
      <c r="C48" s="95"/>
      <c r="D48" s="95">
        <f>E48*D47</f>
        <v>229.50725424400432</v>
      </c>
      <c r="E48" s="80">
        <f>E34</f>
        <v>0.9707037252023083</v>
      </c>
      <c r="F48" s="92"/>
    </row>
    <row r="49" spans="2:6" x14ac:dyDescent="0.25">
      <c r="B49" s="90" t="s">
        <v>91</v>
      </c>
      <c r="C49" s="95"/>
      <c r="D49" s="95">
        <f>D47*E49</f>
        <v>6.9266321059958127</v>
      </c>
      <c r="E49" s="80">
        <f>E35</f>
        <v>2.9296274797691702E-2</v>
      </c>
      <c r="F49" s="92"/>
    </row>
    <row r="50" spans="2:6" x14ac:dyDescent="0.25">
      <c r="B50" s="90"/>
      <c r="C50" s="95"/>
      <c r="D50" s="95"/>
      <c r="F50" s="92"/>
    </row>
    <row r="51" spans="2:6" x14ac:dyDescent="0.25">
      <c r="B51" s="90" t="s">
        <v>93</v>
      </c>
      <c r="C51" s="95">
        <f>C46*E51</f>
        <v>139.44308810866502</v>
      </c>
      <c r="D51" s="95"/>
      <c r="E51" s="80">
        <f>C19</f>
        <v>0.19789999999999999</v>
      </c>
      <c r="F51" s="92"/>
    </row>
    <row r="52" spans="2:6" x14ac:dyDescent="0.25">
      <c r="B52" s="90" t="s">
        <v>94</v>
      </c>
      <c r="C52" s="137">
        <f>C51+E52</f>
        <v>139.44308810866502</v>
      </c>
      <c r="D52" s="95"/>
      <c r="E52" s="95">
        <f>-SUM('Input parameters'!C28:D31)</f>
        <v>0</v>
      </c>
      <c r="F52" s="92"/>
    </row>
    <row r="53" spans="2:6" x14ac:dyDescent="0.25">
      <c r="B53" s="90" t="s">
        <v>98</v>
      </c>
      <c r="C53" s="95">
        <f>C46*E53</f>
        <v>565.17079824133509</v>
      </c>
      <c r="D53" s="95"/>
      <c r="E53" s="80">
        <f>C22</f>
        <v>0.80210000000000004</v>
      </c>
      <c r="F53" s="92"/>
    </row>
    <row r="54" spans="2:6" x14ac:dyDescent="0.25">
      <c r="B54" s="90" t="s">
        <v>97</v>
      </c>
      <c r="C54" s="137">
        <f>C53+E54</f>
        <v>96.990798241335085</v>
      </c>
      <c r="D54" s="95"/>
      <c r="E54" s="95">
        <f>-SUM('Input parameters'!C34:D37)</f>
        <v>-468.18</v>
      </c>
      <c r="F54" s="138"/>
    </row>
    <row r="55" spans="2:6" x14ac:dyDescent="0.25">
      <c r="B55" s="90"/>
      <c r="D55" s="95"/>
      <c r="F55" s="92"/>
    </row>
    <row r="56" spans="2:6" ht="15.75" thickBot="1" x14ac:dyDescent="0.3">
      <c r="B56" s="145" t="s">
        <v>217</v>
      </c>
      <c r="C56" s="146">
        <f>D48-C52</f>
        <v>90.064166135339292</v>
      </c>
      <c r="D56" s="147" t="s">
        <v>99</v>
      </c>
      <c r="E56" s="146">
        <f>C56/'Input parameters'!C4</f>
        <v>45.032083067669646</v>
      </c>
      <c r="F56" s="148" t="s">
        <v>31</v>
      </c>
    </row>
    <row r="57" spans="2:6" ht="15.75" thickBot="1" x14ac:dyDescent="0.3">
      <c r="B57" s="64" t="s">
        <v>112</v>
      </c>
      <c r="C57" s="149"/>
      <c r="D57" s="143"/>
      <c r="E57" s="143"/>
      <c r="F57" s="144"/>
    </row>
    <row r="58" spans="2:6" x14ac:dyDescent="0.25">
      <c r="B58" s="90"/>
      <c r="F58" s="92"/>
    </row>
    <row r="59" spans="2:6" x14ac:dyDescent="0.25">
      <c r="B59" s="90" t="s">
        <v>22</v>
      </c>
      <c r="C59" s="95">
        <f>C46</f>
        <v>704.61388635000014</v>
      </c>
      <c r="F59" s="92"/>
    </row>
    <row r="60" spans="2:6" x14ac:dyDescent="0.25">
      <c r="B60" s="90" t="s">
        <v>48</v>
      </c>
      <c r="C60" s="95">
        <f>C59+E60</f>
        <v>704.61388635000014</v>
      </c>
      <c r="E60" s="95">
        <f>-'Input parameters'!C39</f>
        <v>0</v>
      </c>
      <c r="F60" s="92"/>
    </row>
    <row r="61" spans="2:6" x14ac:dyDescent="0.25">
      <c r="B61" s="90" t="s">
        <v>138</v>
      </c>
      <c r="C61" s="137">
        <f>C60*D61</f>
        <v>683.97132430922102</v>
      </c>
      <c r="D61" s="292">
        <f>E48</f>
        <v>0.9707037252023083</v>
      </c>
      <c r="F61" s="92"/>
    </row>
    <row r="62" spans="2:6" ht="15.75" thickBot="1" x14ac:dyDescent="0.3">
      <c r="B62" s="104" t="s">
        <v>139</v>
      </c>
      <c r="C62" s="150">
        <f>C60*D62</f>
        <v>20.642562040779115</v>
      </c>
      <c r="D62" s="293">
        <f>E49</f>
        <v>2.9296274797691702E-2</v>
      </c>
      <c r="E62" s="106"/>
      <c r="F62" s="107"/>
    </row>
  </sheetData>
  <sheetProtection algorithmName="SHA-512" hashValue="GJW8Pu6Srbf41+G/3K4K5aIYh6hiA8QEJqixrATppMI5/gU2a3GaGDiRdBiNfmx2NvFmc4bEkI+LUVNxcwseBg==" saltValue="J0N775tWKuqxlljqiWQutA==" spinCount="100000" sheet="1" selectLockedCells="1"/>
  <pageMargins left="0.7" right="0.7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>
    <tabColor rgb="FFFFFF00"/>
    <pageSetUpPr fitToPage="1"/>
  </sheetPr>
  <dimension ref="B1:R59"/>
  <sheetViews>
    <sheetView showGridLines="0" workbookViewId="0">
      <selection activeCell="O41" sqref="O41"/>
    </sheetView>
  </sheetViews>
  <sheetFormatPr defaultColWidth="8.85546875" defaultRowHeight="15" x14ac:dyDescent="0.25"/>
  <cols>
    <col min="1" max="1" width="8.85546875" style="42"/>
    <col min="2" max="2" width="65.85546875" style="42" customWidth="1"/>
    <col min="3" max="6" width="12.7109375" style="42" customWidth="1"/>
    <col min="7" max="7" width="8.85546875" style="42"/>
    <col min="8" max="8" width="29.28515625" style="42" customWidth="1"/>
    <col min="9" max="12" width="12.7109375" style="42" customWidth="1"/>
    <col min="13" max="13" width="8.85546875" style="42"/>
    <col min="14" max="14" width="29.28515625" style="42" customWidth="1"/>
    <col min="15" max="18" width="12.7109375" style="42" customWidth="1"/>
    <col min="19" max="16384" width="8.85546875" style="42"/>
  </cols>
  <sheetData>
    <row r="1" spans="2:18" x14ac:dyDescent="0.25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8" ht="15.75" thickBot="1" x14ac:dyDescent="0.3"/>
    <row r="3" spans="2:18" ht="15.75" thickBot="1" x14ac:dyDescent="0.3">
      <c r="B3" s="64" t="s">
        <v>216</v>
      </c>
      <c r="C3" s="87"/>
      <c r="D3" s="87"/>
      <c r="E3" s="87"/>
      <c r="F3" s="88"/>
      <c r="H3" s="48" t="str">
        <f>'Input parameters'!O3</f>
        <v>update leefloon 02.2025</v>
      </c>
      <c r="I3" s="48"/>
      <c r="J3" s="48"/>
      <c r="K3" s="48"/>
      <c r="L3" s="48"/>
      <c r="N3" s="48"/>
      <c r="O3" s="48"/>
      <c r="P3" s="48"/>
      <c r="Q3" s="48"/>
      <c r="R3" s="48"/>
    </row>
    <row r="4" spans="2:18" ht="15.75" thickBot="1" x14ac:dyDescent="0.3"/>
    <row r="5" spans="2:18" ht="15.75" thickBot="1" x14ac:dyDescent="0.3">
      <c r="B5" s="64" t="s">
        <v>21</v>
      </c>
      <c r="C5" s="143"/>
      <c r="D5" s="143"/>
      <c r="E5" s="143"/>
      <c r="F5" s="144"/>
      <c r="H5" s="64" t="s">
        <v>84</v>
      </c>
      <c r="I5" s="143"/>
      <c r="J5" s="143"/>
      <c r="K5" s="143"/>
      <c r="L5" s="144"/>
      <c r="N5" s="64" t="s">
        <v>85</v>
      </c>
      <c r="O5" s="143"/>
      <c r="P5" s="143"/>
      <c r="Q5" s="143"/>
      <c r="R5" s="144"/>
    </row>
    <row r="6" spans="2:18" x14ac:dyDescent="0.25">
      <c r="B6" s="90" t="s">
        <v>22</v>
      </c>
      <c r="C6" s="95">
        <f>'Hobin Classic 2025'!C32</f>
        <v>1409.2277727000003</v>
      </c>
      <c r="D6" s="207">
        <f>'Hobin Classic 2025'!D32</f>
        <v>0.26251500000000005</v>
      </c>
      <c r="E6" s="121">
        <f>'Hobin Classic 2025'!E32</f>
        <v>0.26251500000000005</v>
      </c>
      <c r="F6" s="136">
        <f>'Hobin Classic 2025'!F32</f>
        <v>1409.2277727000003</v>
      </c>
      <c r="H6" s="90" t="s">
        <v>22</v>
      </c>
      <c r="I6" s="95">
        <f>C6/F6*L6</f>
        <v>721.0002558000001</v>
      </c>
      <c r="J6" s="207"/>
      <c r="K6" s="121">
        <f>'IGAK 2025'!K53</f>
        <v>0.13431000000000001</v>
      </c>
      <c r="L6" s="136">
        <f>'IGAK 2025'!L53</f>
        <v>721.0002558000001</v>
      </c>
      <c r="N6" s="90" t="s">
        <v>22</v>
      </c>
      <c r="O6" s="95">
        <f>C6/F6*R6</f>
        <v>688.22751690000007</v>
      </c>
      <c r="P6" s="95"/>
      <c r="Q6" s="121">
        <f>'IGAK 2025'!K54</f>
        <v>0.12820500000000001</v>
      </c>
      <c r="R6" s="136">
        <f>'IGAK 2025'!L54</f>
        <v>688.22751690000007</v>
      </c>
    </row>
    <row r="7" spans="2:18" x14ac:dyDescent="0.25">
      <c r="B7" s="90" t="s">
        <v>23</v>
      </c>
      <c r="C7" s="95"/>
      <c r="D7" s="95">
        <f>'Hobin Classic 2025'!D33</f>
        <v>941.04777270000022</v>
      </c>
      <c r="F7" s="92"/>
      <c r="H7" s="90" t="s">
        <v>23</v>
      </c>
      <c r="I7" s="95"/>
      <c r="J7" s="95">
        <f>I6-'Input parameters'!C28-'Input parameters'!C34</f>
        <v>486.91025580000007</v>
      </c>
      <c r="L7" s="92"/>
      <c r="N7" s="90" t="s">
        <v>23</v>
      </c>
      <c r="O7" s="95"/>
      <c r="P7" s="95">
        <f>O6-'Input parameters'!C29-'Input parameters'!C35</f>
        <v>454.13751690000004</v>
      </c>
      <c r="R7" s="92"/>
    </row>
    <row r="8" spans="2:18" x14ac:dyDescent="0.25">
      <c r="B8" s="90" t="s">
        <v>92</v>
      </c>
      <c r="C8" s="95"/>
      <c r="D8" s="95">
        <f>'Hobin Classic 2025'!D34</f>
        <v>913.47857855322525</v>
      </c>
      <c r="E8" s="80">
        <f>'Hobin Classic 2025'!E34</f>
        <v>0.9707037252023083</v>
      </c>
      <c r="F8" s="92"/>
      <c r="H8" s="90" t="s">
        <v>92</v>
      </c>
      <c r="I8" s="95"/>
      <c r="J8" s="95">
        <f>K8*J7</f>
        <v>472.64559914426889</v>
      </c>
      <c r="K8" s="80">
        <f>E8</f>
        <v>0.9707037252023083</v>
      </c>
      <c r="L8" s="92"/>
      <c r="N8" s="90" t="s">
        <v>92</v>
      </c>
      <c r="O8" s="95"/>
      <c r="P8" s="95">
        <f>Q8*P7</f>
        <v>440.83297940895625</v>
      </c>
      <c r="Q8" s="80">
        <f>E8</f>
        <v>0.9707037252023083</v>
      </c>
      <c r="R8" s="92"/>
    </row>
    <row r="9" spans="2:18" x14ac:dyDescent="0.25">
      <c r="B9" s="90" t="s">
        <v>91</v>
      </c>
      <c r="C9" s="95"/>
      <c r="D9" s="95">
        <f>'Hobin Classic 2025'!D35</f>
        <v>27.569194146774926</v>
      </c>
      <c r="E9" s="80">
        <f>'Hobin Classic 2025'!E35</f>
        <v>2.9296274797691702E-2</v>
      </c>
      <c r="F9" s="92"/>
      <c r="H9" s="90" t="s">
        <v>91</v>
      </c>
      <c r="I9" s="95"/>
      <c r="J9" s="95">
        <f>J7*K9</f>
        <v>14.264656655731162</v>
      </c>
      <c r="K9" s="80">
        <f>E9</f>
        <v>2.9296274797691702E-2</v>
      </c>
      <c r="L9" s="92"/>
      <c r="N9" s="90" t="s">
        <v>91</v>
      </c>
      <c r="O9" s="95"/>
      <c r="P9" s="95">
        <f>P7*Q9</f>
        <v>13.30453749104376</v>
      </c>
      <c r="Q9" s="80">
        <f>E9</f>
        <v>2.9296274797691702E-2</v>
      </c>
      <c r="R9" s="92"/>
    </row>
    <row r="10" spans="2:18" x14ac:dyDescent="0.25">
      <c r="B10" s="90"/>
      <c r="C10" s="95"/>
      <c r="D10" s="95"/>
      <c r="F10" s="92"/>
      <c r="H10" s="90"/>
      <c r="I10" s="95"/>
      <c r="J10" s="95"/>
      <c r="L10" s="92"/>
      <c r="N10" s="90"/>
      <c r="O10" s="95"/>
      <c r="P10" s="95"/>
      <c r="R10" s="92"/>
    </row>
    <row r="11" spans="2:18" x14ac:dyDescent="0.25">
      <c r="B11" s="90" t="s">
        <v>93</v>
      </c>
      <c r="C11" s="95">
        <f>'Hobin Classic 2025'!C37</f>
        <v>192.28912958491503</v>
      </c>
      <c r="D11" s="95"/>
      <c r="E11" s="80">
        <f>'Hobin Classic 2025'!E37</f>
        <v>0.13644999999999999</v>
      </c>
      <c r="F11" s="92"/>
      <c r="H11" s="90" t="s">
        <v>93</v>
      </c>
      <c r="I11" s="95">
        <f>I6*K11</f>
        <v>98.380484903910002</v>
      </c>
      <c r="J11" s="95"/>
      <c r="K11" s="80">
        <f>E11</f>
        <v>0.13644999999999999</v>
      </c>
      <c r="L11" s="92"/>
      <c r="N11" s="90" t="s">
        <v>93</v>
      </c>
      <c r="O11" s="95">
        <f>O6*Q11</f>
        <v>93.908644681005001</v>
      </c>
      <c r="P11" s="95"/>
      <c r="Q11" s="80">
        <f>E11</f>
        <v>0.13644999999999999</v>
      </c>
      <c r="R11" s="92"/>
    </row>
    <row r="12" spans="2:18" x14ac:dyDescent="0.25">
      <c r="B12" s="90" t="s">
        <v>94</v>
      </c>
      <c r="C12" s="137">
        <f>'Hobin Classic 2025'!C38</f>
        <v>192.28912958491503</v>
      </c>
      <c r="D12" s="95"/>
      <c r="E12" s="95">
        <f>'Hobin Classic 2025'!E38</f>
        <v>0</v>
      </c>
      <c r="F12" s="92"/>
      <c r="H12" s="90" t="s">
        <v>94</v>
      </c>
      <c r="I12" s="137">
        <f>I11+K12</f>
        <v>98.380484903910002</v>
      </c>
      <c r="J12" s="95"/>
      <c r="K12" s="95">
        <f>-'Input parameters'!C28</f>
        <v>0</v>
      </c>
      <c r="L12" s="92"/>
      <c r="N12" s="90" t="s">
        <v>94</v>
      </c>
      <c r="O12" s="137">
        <f>O11+Q12</f>
        <v>93.908644681005001</v>
      </c>
      <c r="P12" s="95"/>
      <c r="Q12" s="95">
        <f>-'Input parameters'!C29</f>
        <v>0</v>
      </c>
      <c r="R12" s="92"/>
    </row>
    <row r="13" spans="2:18" x14ac:dyDescent="0.25">
      <c r="B13" s="90" t="s">
        <v>98</v>
      </c>
      <c r="C13" s="95">
        <f>'Hobin Classic 2025'!C39</f>
        <v>1216.9386431150854</v>
      </c>
      <c r="D13" s="95"/>
      <c r="E13" s="80">
        <f>'Hobin Classic 2025'!E39</f>
        <v>0.86355000000000004</v>
      </c>
      <c r="F13" s="92"/>
      <c r="H13" s="90" t="s">
        <v>98</v>
      </c>
      <c r="I13" s="95">
        <f>I6*K13</f>
        <v>622.61977089609013</v>
      </c>
      <c r="J13" s="95"/>
      <c r="K13" s="80">
        <f>E13</f>
        <v>0.86355000000000004</v>
      </c>
      <c r="L13" s="92"/>
      <c r="N13" s="90" t="s">
        <v>98</v>
      </c>
      <c r="O13" s="95">
        <f>O6*Q13</f>
        <v>594.31887221899512</v>
      </c>
      <c r="P13" s="95"/>
      <c r="Q13" s="80">
        <f>E13</f>
        <v>0.86355000000000004</v>
      </c>
      <c r="R13" s="92"/>
    </row>
    <row r="14" spans="2:18" x14ac:dyDescent="0.25">
      <c r="B14" s="90" t="s">
        <v>97</v>
      </c>
      <c r="C14" s="137">
        <f>'Hobin Classic 2025'!C40</f>
        <v>748.75864311508531</v>
      </c>
      <c r="D14" s="95"/>
      <c r="E14" s="95">
        <f>'Hobin Classic 2025'!E40</f>
        <v>-468.18</v>
      </c>
      <c r="F14" s="138"/>
      <c r="H14" s="90" t="s">
        <v>97</v>
      </c>
      <c r="I14" s="137">
        <f>I13+K14</f>
        <v>388.5297708960901</v>
      </c>
      <c r="J14" s="95"/>
      <c r="K14" s="95">
        <f>-'Input parameters'!C34</f>
        <v>-234.09</v>
      </c>
      <c r="L14" s="138"/>
      <c r="N14" s="90" t="s">
        <v>97</v>
      </c>
      <c r="O14" s="137">
        <f>O13+Q14</f>
        <v>360.22887221899509</v>
      </c>
      <c r="P14" s="95"/>
      <c r="Q14" s="95">
        <f>-'Input parameters'!C35</f>
        <v>-234.09</v>
      </c>
      <c r="R14" s="138"/>
    </row>
    <row r="15" spans="2:18" x14ac:dyDescent="0.25">
      <c r="B15" s="90"/>
      <c r="D15" s="95"/>
      <c r="F15" s="92"/>
      <c r="H15" s="90"/>
      <c r="J15" s="95"/>
      <c r="L15" s="92"/>
      <c r="N15" s="90"/>
      <c r="P15" s="95"/>
      <c r="R15" s="92"/>
    </row>
    <row r="16" spans="2:18" ht="15.75" thickBot="1" x14ac:dyDescent="0.3">
      <c r="B16" s="139" t="s">
        <v>217</v>
      </c>
      <c r="C16" s="140">
        <f>D8-C12</f>
        <v>721.18944896831022</v>
      </c>
      <c r="D16" s="141" t="s">
        <v>99</v>
      </c>
      <c r="E16" s="140">
        <f>C16/'Input parameters'!C4</f>
        <v>360.59472448415511</v>
      </c>
      <c r="F16" s="142" t="s">
        <v>31</v>
      </c>
      <c r="H16" s="104" t="s">
        <v>218</v>
      </c>
      <c r="I16" s="150">
        <f>J8-I12</f>
        <v>374.26511424035891</v>
      </c>
      <c r="J16" s="151"/>
      <c r="K16" s="150"/>
      <c r="L16" s="107"/>
      <c r="N16" s="104" t="s">
        <v>218</v>
      </c>
      <c r="O16" s="150">
        <f>P8-O12</f>
        <v>346.92433472795125</v>
      </c>
      <c r="P16" s="151"/>
      <c r="Q16" s="150"/>
      <c r="R16" s="107"/>
    </row>
    <row r="17" spans="2:18" ht="15.75" thickBot="1" x14ac:dyDescent="0.3"/>
    <row r="18" spans="2:18" ht="15.75" thickBot="1" x14ac:dyDescent="0.3">
      <c r="B18" s="64" t="s">
        <v>32</v>
      </c>
      <c r="C18" s="143"/>
      <c r="D18" s="143"/>
      <c r="E18" s="143"/>
      <c r="F18" s="88"/>
      <c r="H18" s="64" t="s">
        <v>100</v>
      </c>
      <c r="I18" s="143"/>
      <c r="J18" s="143"/>
      <c r="K18" s="143"/>
      <c r="L18" s="144"/>
      <c r="N18" s="64" t="s">
        <v>101</v>
      </c>
      <c r="O18" s="143"/>
      <c r="P18" s="143"/>
      <c r="Q18" s="143"/>
      <c r="R18" s="144"/>
    </row>
    <row r="19" spans="2:18" x14ac:dyDescent="0.25">
      <c r="B19" s="90" t="s">
        <v>140</v>
      </c>
      <c r="F19" s="92"/>
      <c r="H19" s="90" t="s">
        <v>22</v>
      </c>
      <c r="I19" s="95">
        <f>C6/F6*L19</f>
        <v>0</v>
      </c>
      <c r="J19" s="95"/>
      <c r="K19" s="121">
        <f>'IGAK 2025'!K55</f>
        <v>0</v>
      </c>
      <c r="L19" s="136">
        <f>'IGAK 2025'!L55</f>
        <v>0</v>
      </c>
      <c r="N19" s="90" t="s">
        <v>22</v>
      </c>
      <c r="O19" s="95">
        <f>C6/F6*R19</f>
        <v>0</v>
      </c>
      <c r="P19" s="95"/>
      <c r="Q19" s="121">
        <f>'IGAK 2025'!K56</f>
        <v>0</v>
      </c>
      <c r="R19" s="136">
        <f>'IGAK 2025'!L56</f>
        <v>0</v>
      </c>
    </row>
    <row r="20" spans="2:18" x14ac:dyDescent="0.25">
      <c r="B20" s="90" t="s">
        <v>33</v>
      </c>
      <c r="C20" s="95">
        <f>C11</f>
        <v>192.28912958491503</v>
      </c>
      <c r="F20" s="138"/>
      <c r="H20" s="90" t="s">
        <v>23</v>
      </c>
      <c r="I20" s="95"/>
      <c r="J20" s="95">
        <f>I19-'Input parameters'!C30-'Input parameters'!C36</f>
        <v>0</v>
      </c>
      <c r="L20" s="92"/>
      <c r="N20" s="90" t="s">
        <v>23</v>
      </c>
      <c r="O20" s="95"/>
      <c r="P20" s="95">
        <f>O19-'Input parameters'!C31-'Input parameters'!C37</f>
        <v>0</v>
      </c>
      <c r="R20" s="92"/>
    </row>
    <row r="21" spans="2:18" x14ac:dyDescent="0.25">
      <c r="B21" s="90" t="s">
        <v>103</v>
      </c>
      <c r="C21" s="95">
        <f>E12</f>
        <v>0</v>
      </c>
      <c r="F21" s="138"/>
      <c r="H21" s="90" t="s">
        <v>92</v>
      </c>
      <c r="I21" s="95"/>
      <c r="J21" s="95">
        <f>K21*J20</f>
        <v>0</v>
      </c>
      <c r="K21" s="80">
        <f>E8</f>
        <v>0.9707037252023083</v>
      </c>
      <c r="L21" s="92"/>
      <c r="N21" s="90" t="s">
        <v>92</v>
      </c>
      <c r="O21" s="95"/>
      <c r="P21" s="95">
        <f>Q21*P20</f>
        <v>0</v>
      </c>
      <c r="Q21" s="80">
        <f>E8</f>
        <v>0.9707037252023083</v>
      </c>
      <c r="R21" s="92"/>
    </row>
    <row r="22" spans="2:18" x14ac:dyDescent="0.25">
      <c r="B22" s="90" t="s">
        <v>220</v>
      </c>
      <c r="C22" s="95">
        <f>C16</f>
        <v>721.18944896831022</v>
      </c>
      <c r="F22" s="138"/>
      <c r="H22" s="90" t="s">
        <v>91</v>
      </c>
      <c r="I22" s="95"/>
      <c r="J22" s="95">
        <f>J20*K22</f>
        <v>0</v>
      </c>
      <c r="K22" s="80">
        <f>E9</f>
        <v>2.9296274797691702E-2</v>
      </c>
      <c r="L22" s="92"/>
      <c r="N22" s="90" t="s">
        <v>91</v>
      </c>
      <c r="O22" s="95"/>
      <c r="P22" s="95">
        <f>P20*Q22</f>
        <v>0</v>
      </c>
      <c r="Q22" s="80">
        <f>E9</f>
        <v>2.9296274797691702E-2</v>
      </c>
      <c r="R22" s="92"/>
    </row>
    <row r="23" spans="2:18" x14ac:dyDescent="0.25">
      <c r="B23" s="90" t="s">
        <v>36</v>
      </c>
      <c r="C23" s="137">
        <f>SUM(C20:C22)</f>
        <v>913.47857855322525</v>
      </c>
      <c r="F23" s="152"/>
      <c r="H23" s="90"/>
      <c r="I23" s="95"/>
      <c r="J23" s="95"/>
      <c r="L23" s="92"/>
      <c r="N23" s="90"/>
      <c r="O23" s="95"/>
      <c r="P23" s="95"/>
      <c r="R23" s="92"/>
    </row>
    <row r="24" spans="2:18" x14ac:dyDescent="0.25">
      <c r="B24" s="90" t="s">
        <v>34</v>
      </c>
      <c r="C24" s="121">
        <f>C23/D7</f>
        <v>0.9707037252023083</v>
      </c>
      <c r="F24" s="153"/>
      <c r="H24" s="90" t="s">
        <v>93</v>
      </c>
      <c r="I24" s="95">
        <f>I19*K24</f>
        <v>0</v>
      </c>
      <c r="J24" s="95"/>
      <c r="K24" s="80">
        <f>E11</f>
        <v>0.13644999999999999</v>
      </c>
      <c r="L24" s="92"/>
      <c r="N24" s="90" t="s">
        <v>93</v>
      </c>
      <c r="O24" s="95">
        <f>O19*Q24</f>
        <v>0</v>
      </c>
      <c r="P24" s="95"/>
      <c r="Q24" s="80">
        <f>E11</f>
        <v>0.13644999999999999</v>
      </c>
      <c r="R24" s="92"/>
    </row>
    <row r="25" spans="2:18" x14ac:dyDescent="0.25">
      <c r="B25" s="90"/>
      <c r="F25" s="92"/>
      <c r="H25" s="90" t="s">
        <v>94</v>
      </c>
      <c r="I25" s="137">
        <f>I24+K25</f>
        <v>0</v>
      </c>
      <c r="J25" s="95"/>
      <c r="K25" s="95">
        <f>-'Input parameters'!C30</f>
        <v>0</v>
      </c>
      <c r="L25" s="92"/>
      <c r="N25" s="90" t="s">
        <v>94</v>
      </c>
      <c r="O25" s="137">
        <f>O24+Q25</f>
        <v>0</v>
      </c>
      <c r="P25" s="95"/>
      <c r="Q25" s="95">
        <f>-'Input parameters'!C31</f>
        <v>0</v>
      </c>
      <c r="R25" s="92"/>
    </row>
    <row r="26" spans="2:18" x14ac:dyDescent="0.25">
      <c r="B26" s="90" t="s">
        <v>141</v>
      </c>
      <c r="F26" s="92"/>
      <c r="H26" s="90" t="s">
        <v>98</v>
      </c>
      <c r="I26" s="95">
        <f>I19*K26</f>
        <v>0</v>
      </c>
      <c r="J26" s="95"/>
      <c r="K26" s="80">
        <f>E13</f>
        <v>0.86355000000000004</v>
      </c>
      <c r="L26" s="92"/>
      <c r="N26" s="90" t="s">
        <v>98</v>
      </c>
      <c r="O26" s="95">
        <f>O19*Q26</f>
        <v>0</v>
      </c>
      <c r="P26" s="95"/>
      <c r="Q26" s="80">
        <f>E13</f>
        <v>0.86355000000000004</v>
      </c>
      <c r="R26" s="92"/>
    </row>
    <row r="27" spans="2:18" x14ac:dyDescent="0.25">
      <c r="B27" s="90" t="s">
        <v>35</v>
      </c>
      <c r="C27" s="95">
        <f>C13</f>
        <v>1216.9386431150854</v>
      </c>
      <c r="F27" s="138"/>
      <c r="H27" s="90" t="s">
        <v>97</v>
      </c>
      <c r="I27" s="137">
        <f>I26+K27</f>
        <v>0</v>
      </c>
      <c r="J27" s="95"/>
      <c r="K27" s="95">
        <f>-'Input parameters'!C36</f>
        <v>0</v>
      </c>
      <c r="L27" s="138"/>
      <c r="N27" s="90" t="s">
        <v>97</v>
      </c>
      <c r="O27" s="137">
        <f>O26+Q27</f>
        <v>0</v>
      </c>
      <c r="P27" s="95"/>
      <c r="Q27" s="95">
        <f>-'Input parameters'!C37</f>
        <v>0</v>
      </c>
      <c r="R27" s="138"/>
    </row>
    <row r="28" spans="2:18" x14ac:dyDescent="0.25">
      <c r="B28" s="90" t="s">
        <v>104</v>
      </c>
      <c r="C28" s="95">
        <f>E14</f>
        <v>-468.18</v>
      </c>
      <c r="F28" s="138"/>
      <c r="H28" s="90"/>
      <c r="J28" s="95"/>
      <c r="L28" s="92"/>
      <c r="N28" s="90"/>
      <c r="P28" s="95"/>
      <c r="R28" s="92"/>
    </row>
    <row r="29" spans="2:18" x14ac:dyDescent="0.25">
      <c r="B29" s="90" t="s">
        <v>221</v>
      </c>
      <c r="C29" s="95">
        <f>-C22</f>
        <v>-721.18944896831022</v>
      </c>
      <c r="F29" s="138"/>
      <c r="H29" s="90" t="s">
        <v>218</v>
      </c>
      <c r="I29" s="137">
        <f>J21-I25</f>
        <v>0</v>
      </c>
      <c r="J29" s="95"/>
      <c r="K29" s="137"/>
      <c r="L29" s="92"/>
      <c r="N29" s="90" t="s">
        <v>218</v>
      </c>
      <c r="O29" s="137">
        <f>P21-O25</f>
        <v>0</v>
      </c>
      <c r="P29" s="95"/>
      <c r="Q29" s="137"/>
      <c r="R29" s="92"/>
    </row>
    <row r="30" spans="2:18" x14ac:dyDescent="0.25">
      <c r="B30" s="90" t="s">
        <v>36</v>
      </c>
      <c r="C30" s="137">
        <f>SUM(C27:C29)</f>
        <v>27.569194146775089</v>
      </c>
      <c r="F30" s="152"/>
      <c r="H30" s="90"/>
      <c r="I30" s="137"/>
      <c r="L30" s="152"/>
      <c r="N30" s="90"/>
      <c r="O30" s="137"/>
      <c r="R30" s="152"/>
    </row>
    <row r="31" spans="2:18" ht="15.75" thickBot="1" x14ac:dyDescent="0.3">
      <c r="B31" s="104" t="s">
        <v>34</v>
      </c>
      <c r="C31" s="131">
        <f>C30/D7</f>
        <v>2.9296274797691875E-2</v>
      </c>
      <c r="D31" s="106"/>
      <c r="E31" s="106"/>
      <c r="F31" s="154"/>
      <c r="H31" s="104"/>
      <c r="I31" s="155"/>
      <c r="J31" s="106"/>
      <c r="K31" s="106"/>
      <c r="L31" s="154"/>
      <c r="N31" s="104"/>
      <c r="O31" s="155"/>
      <c r="P31" s="106"/>
      <c r="Q31" s="106"/>
      <c r="R31" s="154"/>
    </row>
    <row r="32" spans="2:18" ht="15.75" thickBot="1" x14ac:dyDescent="0.3"/>
    <row r="33" spans="3:18" ht="15.75" thickBot="1" x14ac:dyDescent="0.3">
      <c r="H33" s="64" t="s">
        <v>148</v>
      </c>
      <c r="I33" s="143"/>
      <c r="J33" s="143"/>
      <c r="K33" s="143"/>
      <c r="L33" s="144"/>
      <c r="N33" s="64" t="s">
        <v>149</v>
      </c>
      <c r="O33" s="143"/>
      <c r="P33" s="143"/>
      <c r="Q33" s="143"/>
      <c r="R33" s="144"/>
    </row>
    <row r="34" spans="3:18" x14ac:dyDescent="0.25">
      <c r="C34" s="95"/>
      <c r="H34" s="90" t="s">
        <v>22</v>
      </c>
      <c r="I34" s="95">
        <f>C6/F6*L34</f>
        <v>0</v>
      </c>
      <c r="J34" s="95"/>
      <c r="K34" s="121">
        <f>'IGAK 2025'!K57</f>
        <v>0</v>
      </c>
      <c r="L34" s="136">
        <f>'IGAK 2025'!L57</f>
        <v>0</v>
      </c>
      <c r="N34" s="90" t="s">
        <v>22</v>
      </c>
      <c r="O34" s="95">
        <f>C6/F6*R34</f>
        <v>0</v>
      </c>
      <c r="P34" s="95"/>
      <c r="Q34" s="121">
        <f>'IGAK 2025'!K58</f>
        <v>0</v>
      </c>
      <c r="R34" s="136">
        <f>'IGAK 2025'!L58</f>
        <v>0</v>
      </c>
    </row>
    <row r="35" spans="3:18" x14ac:dyDescent="0.25">
      <c r="H35" s="90" t="s">
        <v>23</v>
      </c>
      <c r="I35" s="95"/>
      <c r="J35" s="95">
        <f>I34-'Input parameters'!D28-'Input parameters'!D34</f>
        <v>0</v>
      </c>
      <c r="L35" s="92"/>
      <c r="N35" s="90" t="s">
        <v>23</v>
      </c>
      <c r="O35" s="95"/>
      <c r="P35" s="95">
        <f>O34-'Input parameters'!D29-'Input parameters'!D35</f>
        <v>0</v>
      </c>
      <c r="R35" s="92"/>
    </row>
    <row r="36" spans="3:18" x14ac:dyDescent="0.25">
      <c r="H36" s="90" t="s">
        <v>92</v>
      </c>
      <c r="I36" s="95"/>
      <c r="J36" s="95">
        <f>K36*J35</f>
        <v>0</v>
      </c>
      <c r="K36" s="80">
        <f>E8</f>
        <v>0.9707037252023083</v>
      </c>
      <c r="L36" s="92"/>
      <c r="N36" s="90" t="s">
        <v>92</v>
      </c>
      <c r="O36" s="95"/>
      <c r="P36" s="95">
        <f>Q36*P35</f>
        <v>0</v>
      </c>
      <c r="Q36" s="80">
        <f>E8</f>
        <v>0.9707037252023083</v>
      </c>
      <c r="R36" s="92"/>
    </row>
    <row r="37" spans="3:18" x14ac:dyDescent="0.25">
      <c r="H37" s="90" t="s">
        <v>91</v>
      </c>
      <c r="I37" s="95"/>
      <c r="J37" s="95">
        <f>J35*K37</f>
        <v>0</v>
      </c>
      <c r="K37" s="80">
        <f>E9</f>
        <v>2.9296274797691702E-2</v>
      </c>
      <c r="L37" s="92"/>
      <c r="N37" s="90" t="s">
        <v>91</v>
      </c>
      <c r="O37" s="95"/>
      <c r="P37" s="95">
        <f>P35*Q37</f>
        <v>0</v>
      </c>
      <c r="Q37" s="80">
        <f>E9</f>
        <v>2.9296274797691702E-2</v>
      </c>
      <c r="R37" s="92"/>
    </row>
    <row r="38" spans="3:18" x14ac:dyDescent="0.25">
      <c r="H38" s="90"/>
      <c r="I38" s="95"/>
      <c r="J38" s="95"/>
      <c r="L38" s="92"/>
      <c r="N38" s="90"/>
      <c r="O38" s="95"/>
      <c r="P38" s="95"/>
      <c r="R38" s="92"/>
    </row>
    <row r="39" spans="3:18" x14ac:dyDescent="0.25">
      <c r="H39" s="90" t="s">
        <v>93</v>
      </c>
      <c r="I39" s="95">
        <f>I34*K39</f>
        <v>0</v>
      </c>
      <c r="J39" s="95"/>
      <c r="K39" s="80">
        <f>E11</f>
        <v>0.13644999999999999</v>
      </c>
      <c r="L39" s="92"/>
      <c r="N39" s="90" t="s">
        <v>93</v>
      </c>
      <c r="O39" s="95">
        <f>O34*Q39</f>
        <v>0</v>
      </c>
      <c r="P39" s="95"/>
      <c r="Q39" s="80">
        <f>E11</f>
        <v>0.13644999999999999</v>
      </c>
      <c r="R39" s="92"/>
    </row>
    <row r="40" spans="3:18" x14ac:dyDescent="0.25">
      <c r="H40" s="90" t="s">
        <v>94</v>
      </c>
      <c r="I40" s="137">
        <f>I39+K40</f>
        <v>0</v>
      </c>
      <c r="J40" s="95"/>
      <c r="K40" s="95">
        <f>-'Input parameters'!D28</f>
        <v>0</v>
      </c>
      <c r="L40" s="92"/>
      <c r="N40" s="90" t="s">
        <v>94</v>
      </c>
      <c r="O40" s="137">
        <f>O39+Q40</f>
        <v>0</v>
      </c>
      <c r="P40" s="95"/>
      <c r="Q40" s="95">
        <f>-'Input parameters'!D29</f>
        <v>0</v>
      </c>
      <c r="R40" s="92"/>
    </row>
    <row r="41" spans="3:18" x14ac:dyDescent="0.25">
      <c r="H41" s="90" t="s">
        <v>98</v>
      </c>
      <c r="I41" s="95">
        <f>I34*K41</f>
        <v>0</v>
      </c>
      <c r="J41" s="95"/>
      <c r="K41" s="80">
        <f>E13</f>
        <v>0.86355000000000004</v>
      </c>
      <c r="L41" s="92"/>
      <c r="N41" s="90" t="s">
        <v>98</v>
      </c>
      <c r="O41" s="95">
        <f>O34*Q41</f>
        <v>0</v>
      </c>
      <c r="P41" s="95"/>
      <c r="Q41" s="80">
        <f>E13</f>
        <v>0.86355000000000004</v>
      </c>
      <c r="R41" s="92"/>
    </row>
    <row r="42" spans="3:18" x14ac:dyDescent="0.25">
      <c r="H42" s="90" t="s">
        <v>97</v>
      </c>
      <c r="I42" s="137">
        <f>I41+K42</f>
        <v>0</v>
      </c>
      <c r="J42" s="95"/>
      <c r="K42" s="95">
        <f>-'Input parameters'!D34</f>
        <v>0</v>
      </c>
      <c r="L42" s="138"/>
      <c r="N42" s="90" t="s">
        <v>97</v>
      </c>
      <c r="O42" s="137">
        <f>O41+Q42</f>
        <v>0</v>
      </c>
      <c r="P42" s="95"/>
      <c r="Q42" s="95">
        <f>-'Input parameters'!D35</f>
        <v>0</v>
      </c>
      <c r="R42" s="138"/>
    </row>
    <row r="43" spans="3:18" x14ac:dyDescent="0.25">
      <c r="H43" s="90"/>
      <c r="J43" s="95"/>
      <c r="L43" s="92"/>
      <c r="N43" s="90"/>
      <c r="P43" s="95"/>
      <c r="R43" s="92"/>
    </row>
    <row r="44" spans="3:18" ht="15.75" thickBot="1" x14ac:dyDescent="0.3">
      <c r="H44" s="104" t="s">
        <v>218</v>
      </c>
      <c r="I44" s="150">
        <f>J36-I40</f>
        <v>0</v>
      </c>
      <c r="J44" s="151"/>
      <c r="K44" s="150"/>
      <c r="L44" s="107"/>
      <c r="N44" s="104" t="s">
        <v>218</v>
      </c>
      <c r="O44" s="150">
        <f>P36-O40</f>
        <v>0</v>
      </c>
      <c r="P44" s="151"/>
      <c r="Q44" s="150"/>
      <c r="R44" s="107"/>
    </row>
    <row r="45" spans="3:18" ht="15.75" thickBot="1" x14ac:dyDescent="0.3"/>
    <row r="46" spans="3:18" ht="15.75" thickBot="1" x14ac:dyDescent="0.3">
      <c r="H46" s="64" t="s">
        <v>150</v>
      </c>
      <c r="I46" s="143"/>
      <c r="J46" s="143"/>
      <c r="K46" s="143"/>
      <c r="L46" s="144"/>
      <c r="N46" s="64" t="s">
        <v>151</v>
      </c>
      <c r="O46" s="143"/>
      <c r="P46" s="143"/>
      <c r="Q46" s="143"/>
      <c r="R46" s="144"/>
    </row>
    <row r="47" spans="3:18" x14ac:dyDescent="0.25">
      <c r="H47" s="90" t="s">
        <v>22</v>
      </c>
      <c r="I47" s="95">
        <f>C6/F6*L47</f>
        <v>0</v>
      </c>
      <c r="J47" s="95"/>
      <c r="K47" s="121">
        <f>'IGAK 2025'!K59</f>
        <v>0</v>
      </c>
      <c r="L47" s="136">
        <f>'IGAK 2025'!L59</f>
        <v>0</v>
      </c>
      <c r="N47" s="90" t="s">
        <v>22</v>
      </c>
      <c r="O47" s="95">
        <f>C6/F6*R47</f>
        <v>0</v>
      </c>
      <c r="P47" s="95"/>
      <c r="Q47" s="121">
        <f>'IGAK 2025'!K60</f>
        <v>0</v>
      </c>
      <c r="R47" s="136">
        <f>'IGAK 2025'!L60</f>
        <v>0</v>
      </c>
    </row>
    <row r="48" spans="3:18" x14ac:dyDescent="0.25">
      <c r="H48" s="90" t="s">
        <v>23</v>
      </c>
      <c r="I48" s="95"/>
      <c r="J48" s="95">
        <f>I47-'Input parameters'!D30-'Input parameters'!D36</f>
        <v>0</v>
      </c>
      <c r="L48" s="92"/>
      <c r="N48" s="90" t="s">
        <v>23</v>
      </c>
      <c r="O48" s="95"/>
      <c r="P48" s="95">
        <f>O47-'Input parameters'!D31-'Input parameters'!D37</f>
        <v>0</v>
      </c>
      <c r="R48" s="92"/>
    </row>
    <row r="49" spans="8:18" x14ac:dyDescent="0.25">
      <c r="H49" s="90" t="s">
        <v>92</v>
      </c>
      <c r="I49" s="95"/>
      <c r="J49" s="95">
        <f>K49*J48</f>
        <v>0</v>
      </c>
      <c r="K49" s="80">
        <f>E8</f>
        <v>0.9707037252023083</v>
      </c>
      <c r="L49" s="92"/>
      <c r="N49" s="90" t="s">
        <v>92</v>
      </c>
      <c r="O49" s="95"/>
      <c r="P49" s="95">
        <f>Q49*P48</f>
        <v>0</v>
      </c>
      <c r="Q49" s="80">
        <f>E8</f>
        <v>0.9707037252023083</v>
      </c>
      <c r="R49" s="92"/>
    </row>
    <row r="50" spans="8:18" x14ac:dyDescent="0.25">
      <c r="H50" s="90" t="s">
        <v>91</v>
      </c>
      <c r="I50" s="95"/>
      <c r="J50" s="95">
        <f>J48*K50</f>
        <v>0</v>
      </c>
      <c r="K50" s="80">
        <f>E9</f>
        <v>2.9296274797691702E-2</v>
      </c>
      <c r="L50" s="92"/>
      <c r="N50" s="90" t="s">
        <v>91</v>
      </c>
      <c r="O50" s="95"/>
      <c r="P50" s="95">
        <f>P48*Q50</f>
        <v>0</v>
      </c>
      <c r="Q50" s="80">
        <f>E9</f>
        <v>2.9296274797691702E-2</v>
      </c>
      <c r="R50" s="92"/>
    </row>
    <row r="51" spans="8:18" x14ac:dyDescent="0.25">
      <c r="H51" s="90"/>
      <c r="I51" s="95"/>
      <c r="J51" s="95"/>
      <c r="L51" s="92"/>
      <c r="N51" s="90"/>
      <c r="O51" s="95"/>
      <c r="P51" s="95"/>
      <c r="R51" s="92"/>
    </row>
    <row r="52" spans="8:18" x14ac:dyDescent="0.25">
      <c r="H52" s="90" t="s">
        <v>93</v>
      </c>
      <c r="I52" s="95">
        <f>I47*K52</f>
        <v>0</v>
      </c>
      <c r="J52" s="95"/>
      <c r="K52" s="80">
        <f>E11</f>
        <v>0.13644999999999999</v>
      </c>
      <c r="L52" s="92"/>
      <c r="N52" s="90" t="s">
        <v>93</v>
      </c>
      <c r="O52" s="95">
        <f>O47*Q52</f>
        <v>0</v>
      </c>
      <c r="P52" s="95"/>
      <c r="Q52" s="80">
        <f>E11</f>
        <v>0.13644999999999999</v>
      </c>
      <c r="R52" s="92"/>
    </row>
    <row r="53" spans="8:18" x14ac:dyDescent="0.25">
      <c r="H53" s="90" t="s">
        <v>94</v>
      </c>
      <c r="I53" s="137">
        <f>I52+K53</f>
        <v>0</v>
      </c>
      <c r="J53" s="95"/>
      <c r="K53" s="95">
        <f>-'Input parameters'!D30</f>
        <v>0</v>
      </c>
      <c r="L53" s="92"/>
      <c r="N53" s="90" t="s">
        <v>94</v>
      </c>
      <c r="O53" s="137">
        <f>O52+Q53</f>
        <v>0</v>
      </c>
      <c r="P53" s="95"/>
      <c r="Q53" s="95">
        <f>-'Input parameters'!D31</f>
        <v>0</v>
      </c>
      <c r="R53" s="92"/>
    </row>
    <row r="54" spans="8:18" x14ac:dyDescent="0.25">
      <c r="H54" s="90" t="s">
        <v>98</v>
      </c>
      <c r="I54" s="95">
        <f>I47*K54</f>
        <v>0</v>
      </c>
      <c r="J54" s="95"/>
      <c r="K54" s="80">
        <f>E13</f>
        <v>0.86355000000000004</v>
      </c>
      <c r="L54" s="92"/>
      <c r="N54" s="90" t="s">
        <v>98</v>
      </c>
      <c r="O54" s="95">
        <f>O47*Q54</f>
        <v>0</v>
      </c>
      <c r="P54" s="95"/>
      <c r="Q54" s="80">
        <f>E13</f>
        <v>0.86355000000000004</v>
      </c>
      <c r="R54" s="92"/>
    </row>
    <row r="55" spans="8:18" x14ac:dyDescent="0.25">
      <c r="H55" s="90" t="s">
        <v>97</v>
      </c>
      <c r="I55" s="137">
        <f>I54+K55</f>
        <v>0</v>
      </c>
      <c r="J55" s="95"/>
      <c r="K55" s="95">
        <f>-'Input parameters'!D36</f>
        <v>0</v>
      </c>
      <c r="L55" s="138"/>
      <c r="N55" s="90" t="s">
        <v>97</v>
      </c>
      <c r="O55" s="137">
        <f>O54+Q55</f>
        <v>0</v>
      </c>
      <c r="P55" s="95"/>
      <c r="Q55" s="95">
        <f>-'Input parameters'!D37</f>
        <v>0</v>
      </c>
      <c r="R55" s="138"/>
    </row>
    <row r="56" spans="8:18" x14ac:dyDescent="0.25">
      <c r="H56" s="90"/>
      <c r="J56" s="95"/>
      <c r="L56" s="92"/>
      <c r="N56" s="90"/>
      <c r="P56" s="95"/>
      <c r="R56" s="92"/>
    </row>
    <row r="57" spans="8:18" ht="15.75" thickBot="1" x14ac:dyDescent="0.3">
      <c r="H57" s="104" t="s">
        <v>218</v>
      </c>
      <c r="I57" s="150">
        <f>J49-I53</f>
        <v>0</v>
      </c>
      <c r="J57" s="151"/>
      <c r="K57" s="150"/>
      <c r="L57" s="107"/>
      <c r="N57" s="104" t="s">
        <v>218</v>
      </c>
      <c r="O57" s="150">
        <f>P49-O53</f>
        <v>0</v>
      </c>
      <c r="P57" s="151"/>
      <c r="Q57" s="150"/>
      <c r="R57" s="107"/>
    </row>
    <row r="58" spans="8:18" x14ac:dyDescent="0.25">
      <c r="I58" s="137"/>
      <c r="L58" s="137"/>
      <c r="O58" s="137"/>
      <c r="R58" s="137"/>
    </row>
    <row r="59" spans="8:18" x14ac:dyDescent="0.25">
      <c r="I59" s="101"/>
      <c r="L59" s="108"/>
      <c r="O59" s="101"/>
      <c r="R59" s="108"/>
    </row>
  </sheetData>
  <sheetProtection algorithmName="SHA-512" hashValue="zXhS3OSIROYe7OTBV47qMIp/Im9VNhSgsp+skmB/p6XLxqkQPXfON9AaDlN6ZpOqZ/DHuGsgBkkFIvfoAHMO1g==" saltValue="XUF9xcXlvz314nWdtBRuig==" spinCount="100000" sheet="1" objects="1" scenarios="1" selectLockedCells="1" selectUnlockedCells="1"/>
  <pageMargins left="0.7" right="0.7" top="0.75" bottom="0.75" header="0.3" footer="0.3"/>
  <pageSetup paperSize="9" scale="4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>
    <tabColor rgb="FFFFFF00"/>
    <pageSetUpPr fitToPage="1"/>
  </sheetPr>
  <dimension ref="B1:R60"/>
  <sheetViews>
    <sheetView showGridLines="0" workbookViewId="0">
      <selection activeCell="H7" sqref="H7"/>
    </sheetView>
  </sheetViews>
  <sheetFormatPr defaultColWidth="8.85546875" defaultRowHeight="15" x14ac:dyDescent="0.25"/>
  <cols>
    <col min="1" max="1" width="8.85546875" style="42"/>
    <col min="2" max="2" width="66.85546875" style="42" customWidth="1"/>
    <col min="3" max="6" width="12.7109375" style="42" customWidth="1"/>
    <col min="7" max="7" width="8.85546875" style="42"/>
    <col min="8" max="8" width="29.28515625" style="42" customWidth="1"/>
    <col min="9" max="12" width="12.7109375" style="42" customWidth="1"/>
    <col min="13" max="13" width="8.85546875" style="42"/>
    <col min="14" max="14" width="29.28515625" style="42" customWidth="1"/>
    <col min="15" max="18" width="12.7109375" style="42" customWidth="1"/>
    <col min="19" max="16384" width="8.85546875" style="42"/>
  </cols>
  <sheetData>
    <row r="1" spans="2:18" x14ac:dyDescent="0.25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8" ht="15.75" thickBot="1" x14ac:dyDescent="0.3"/>
    <row r="3" spans="2:18" ht="15.75" thickBot="1" x14ac:dyDescent="0.3">
      <c r="B3" s="64" t="s">
        <v>219</v>
      </c>
      <c r="C3" s="87"/>
      <c r="D3" s="87"/>
      <c r="E3" s="87"/>
      <c r="F3" s="88"/>
      <c r="H3" s="48" t="str">
        <f>'Input parameters'!O3</f>
        <v>update leefloon 02.2025</v>
      </c>
      <c r="I3" s="48"/>
      <c r="J3" s="48"/>
      <c r="K3" s="48"/>
      <c r="L3" s="48"/>
      <c r="N3" s="48"/>
      <c r="O3" s="48"/>
      <c r="P3" s="48"/>
      <c r="Q3" s="48"/>
      <c r="R3" s="48"/>
    </row>
    <row r="4" spans="2:18" ht="15.75" thickBot="1" x14ac:dyDescent="0.3"/>
    <row r="5" spans="2:18" ht="15.75" thickBot="1" x14ac:dyDescent="0.3">
      <c r="B5" s="64" t="s">
        <v>21</v>
      </c>
      <c r="C5" s="143"/>
      <c r="D5" s="143"/>
      <c r="E5" s="143"/>
      <c r="F5" s="144"/>
      <c r="H5" s="64" t="s">
        <v>84</v>
      </c>
      <c r="I5" s="143"/>
      <c r="J5" s="143"/>
      <c r="K5" s="143"/>
      <c r="L5" s="144"/>
      <c r="N5" s="64" t="s">
        <v>85</v>
      </c>
      <c r="O5" s="143"/>
      <c r="P5" s="143"/>
      <c r="Q5" s="143"/>
      <c r="R5" s="144"/>
    </row>
    <row r="6" spans="2:18" x14ac:dyDescent="0.25">
      <c r="B6" s="90" t="s">
        <v>22</v>
      </c>
      <c r="C6" s="95">
        <f>'Hobin Classic 2025'!C46</f>
        <v>704.61388635000014</v>
      </c>
      <c r="D6" s="95"/>
      <c r="E6" s="121">
        <f>'Hobin Classic 2025'!E46</f>
        <v>0.13125750000000003</v>
      </c>
      <c r="F6" s="136">
        <f>'Hobin Classic 2025'!F46</f>
        <v>704.61388635000014</v>
      </c>
      <c r="H6" s="90" t="s">
        <v>22</v>
      </c>
      <c r="I6" s="95">
        <f>C6/F6*L6</f>
        <v>360.50012790000005</v>
      </c>
      <c r="J6" s="95"/>
      <c r="K6" s="121">
        <f>'IGAK 2025'!K53/2</f>
        <v>6.7155000000000006E-2</v>
      </c>
      <c r="L6" s="136">
        <f>'IGAK 2025'!L53/2</f>
        <v>360.50012790000005</v>
      </c>
      <c r="N6" s="90" t="s">
        <v>22</v>
      </c>
      <c r="O6" s="95">
        <f>C6/F6*R6</f>
        <v>344.11375845000003</v>
      </c>
      <c r="P6" s="95"/>
      <c r="Q6" s="121">
        <f>'IGAK 2025'!K54/2</f>
        <v>6.4102500000000007E-2</v>
      </c>
      <c r="R6" s="136">
        <f>'IGAK 2025'!L54/2</f>
        <v>344.11375845000003</v>
      </c>
    </row>
    <row r="7" spans="2:18" x14ac:dyDescent="0.25">
      <c r="B7" s="90" t="s">
        <v>23</v>
      </c>
      <c r="C7" s="95"/>
      <c r="D7" s="95">
        <f>'Hobin Classic 2025'!D47</f>
        <v>236.43388635000014</v>
      </c>
      <c r="F7" s="92"/>
      <c r="H7" s="90" t="s">
        <v>23</v>
      </c>
      <c r="I7" s="95"/>
      <c r="J7" s="95">
        <f>I6-'Input parameters'!C28-'Input parameters'!C34</f>
        <v>126.41012790000005</v>
      </c>
      <c r="L7" s="92"/>
      <c r="N7" s="90" t="s">
        <v>23</v>
      </c>
      <c r="O7" s="95"/>
      <c r="P7" s="95">
        <f>O6-'Input parameters'!C29-'Input parameters'!C35</f>
        <v>110.02375845000003</v>
      </c>
      <c r="R7" s="92"/>
    </row>
    <row r="8" spans="2:18" x14ac:dyDescent="0.25">
      <c r="B8" s="90" t="s">
        <v>92</v>
      </c>
      <c r="C8" s="95"/>
      <c r="D8" s="95">
        <f>'Hobin Classic 2025'!D48</f>
        <v>229.50725424400432</v>
      </c>
      <c r="E8" s="80">
        <f>'Hobin Classic 2025'!E48</f>
        <v>0.9707037252023083</v>
      </c>
      <c r="F8" s="92"/>
      <c r="H8" s="90" t="s">
        <v>92</v>
      </c>
      <c r="I8" s="95"/>
      <c r="J8" s="95">
        <f>K8*J7</f>
        <v>122.70678205583029</v>
      </c>
      <c r="K8" s="80">
        <f>E8</f>
        <v>0.9707037252023083</v>
      </c>
      <c r="L8" s="92"/>
      <c r="N8" s="90" t="s">
        <v>92</v>
      </c>
      <c r="O8" s="95"/>
      <c r="P8" s="95">
        <f>Q8*P7</f>
        <v>106.80047218817397</v>
      </c>
      <c r="Q8" s="80">
        <f>E8</f>
        <v>0.9707037252023083</v>
      </c>
      <c r="R8" s="92"/>
    </row>
    <row r="9" spans="2:18" x14ac:dyDescent="0.25">
      <c r="B9" s="90" t="s">
        <v>91</v>
      </c>
      <c r="C9" s="95"/>
      <c r="D9" s="95">
        <f>'Hobin Classic 2025'!D49</f>
        <v>6.9266321059958127</v>
      </c>
      <c r="E9" s="80">
        <f>'Hobin Classic 2025'!E49</f>
        <v>2.9296274797691702E-2</v>
      </c>
      <c r="F9" s="92"/>
      <c r="H9" s="90" t="s">
        <v>91</v>
      </c>
      <c r="I9" s="95"/>
      <c r="J9" s="95">
        <f>J7*K9</f>
        <v>3.703345844169756</v>
      </c>
      <c r="K9" s="80">
        <f>E9</f>
        <v>2.9296274797691702E-2</v>
      </c>
      <c r="L9" s="92"/>
      <c r="N9" s="90" t="s">
        <v>91</v>
      </c>
      <c r="O9" s="95"/>
      <c r="P9" s="95">
        <f>P7*Q9</f>
        <v>3.2232862618260554</v>
      </c>
      <c r="Q9" s="80">
        <f>E9</f>
        <v>2.9296274797691702E-2</v>
      </c>
      <c r="R9" s="92"/>
    </row>
    <row r="10" spans="2:18" x14ac:dyDescent="0.25">
      <c r="B10" s="90"/>
      <c r="C10" s="95"/>
      <c r="D10" s="95"/>
      <c r="F10" s="92"/>
      <c r="H10" s="90"/>
      <c r="I10" s="95"/>
      <c r="J10" s="95"/>
      <c r="L10" s="92"/>
      <c r="N10" s="90"/>
      <c r="O10" s="95"/>
      <c r="P10" s="95"/>
      <c r="R10" s="92"/>
    </row>
    <row r="11" spans="2:18" x14ac:dyDescent="0.25">
      <c r="B11" s="90" t="s">
        <v>93</v>
      </c>
      <c r="C11" s="95">
        <f>C6*E11</f>
        <v>139.44308810866502</v>
      </c>
      <c r="D11" s="95"/>
      <c r="E11" s="80">
        <f>'Hobin Classic 2025'!E51</f>
        <v>0.19789999999999999</v>
      </c>
      <c r="F11" s="92"/>
      <c r="H11" s="90" t="s">
        <v>93</v>
      </c>
      <c r="I11" s="95">
        <f>I6*K11</f>
        <v>71.342975311410001</v>
      </c>
      <c r="J11" s="95"/>
      <c r="K11" s="80">
        <f>E11</f>
        <v>0.19789999999999999</v>
      </c>
      <c r="L11" s="92"/>
      <c r="N11" s="90" t="s">
        <v>93</v>
      </c>
      <c r="O11" s="95">
        <f>O6*Q11</f>
        <v>68.100112797255008</v>
      </c>
      <c r="P11" s="95"/>
      <c r="Q11" s="80">
        <f>E11</f>
        <v>0.19789999999999999</v>
      </c>
      <c r="R11" s="92"/>
    </row>
    <row r="12" spans="2:18" x14ac:dyDescent="0.25">
      <c r="B12" s="90" t="s">
        <v>94</v>
      </c>
      <c r="C12" s="137">
        <f>C11+E12</f>
        <v>139.44308810866502</v>
      </c>
      <c r="D12" s="95"/>
      <c r="E12" s="95">
        <f>'Hobin Classic 2025'!E52</f>
        <v>0</v>
      </c>
      <c r="F12" s="92"/>
      <c r="H12" s="90" t="s">
        <v>94</v>
      </c>
      <c r="I12" s="137">
        <f>I11+K12</f>
        <v>71.342975311410001</v>
      </c>
      <c r="J12" s="95"/>
      <c r="K12" s="95">
        <f>-'Input parameters'!C28</f>
        <v>0</v>
      </c>
      <c r="L12" s="92"/>
      <c r="N12" s="90" t="s">
        <v>94</v>
      </c>
      <c r="O12" s="137">
        <f>O11+Q12</f>
        <v>68.100112797255008</v>
      </c>
      <c r="P12" s="95"/>
      <c r="Q12" s="95">
        <f>-'Input parameters'!C29</f>
        <v>0</v>
      </c>
      <c r="R12" s="92"/>
    </row>
    <row r="13" spans="2:18" x14ac:dyDescent="0.25">
      <c r="B13" s="90" t="s">
        <v>98</v>
      </c>
      <c r="C13" s="95">
        <f>C6*E13</f>
        <v>565.17079824133509</v>
      </c>
      <c r="D13" s="95"/>
      <c r="E13" s="80">
        <f>'Hobin Classic 2025'!E53</f>
        <v>0.80210000000000004</v>
      </c>
      <c r="F13" s="92"/>
      <c r="H13" s="90" t="s">
        <v>98</v>
      </c>
      <c r="I13" s="95">
        <f>I6*K13</f>
        <v>289.15715258859007</v>
      </c>
      <c r="J13" s="95"/>
      <c r="K13" s="80">
        <f>E13</f>
        <v>0.80210000000000004</v>
      </c>
      <c r="L13" s="92"/>
      <c r="N13" s="90" t="s">
        <v>98</v>
      </c>
      <c r="O13" s="95">
        <f>O6*Q13</f>
        <v>276.01364565274503</v>
      </c>
      <c r="P13" s="95"/>
      <c r="Q13" s="80">
        <f>E13</f>
        <v>0.80210000000000004</v>
      </c>
      <c r="R13" s="92"/>
    </row>
    <row r="14" spans="2:18" x14ac:dyDescent="0.25">
      <c r="B14" s="90" t="s">
        <v>97</v>
      </c>
      <c r="C14" s="137">
        <f>C13+E14</f>
        <v>96.990798241335085</v>
      </c>
      <c r="D14" s="95"/>
      <c r="E14" s="95">
        <f>'Hobin Classic 2025'!E54</f>
        <v>-468.18</v>
      </c>
      <c r="F14" s="138"/>
      <c r="H14" s="90" t="s">
        <v>97</v>
      </c>
      <c r="I14" s="137">
        <f>I13+K14</f>
        <v>55.067152588590062</v>
      </c>
      <c r="J14" s="95"/>
      <c r="K14" s="95">
        <f>-'Input parameters'!C34</f>
        <v>-234.09</v>
      </c>
      <c r="L14" s="138"/>
      <c r="N14" s="90" t="s">
        <v>97</v>
      </c>
      <c r="O14" s="137">
        <f>O13+Q14</f>
        <v>41.923645652745023</v>
      </c>
      <c r="P14" s="95"/>
      <c r="Q14" s="95">
        <f>-'Input parameters'!C35</f>
        <v>-234.09</v>
      </c>
      <c r="R14" s="138"/>
    </row>
    <row r="15" spans="2:18" x14ac:dyDescent="0.25">
      <c r="B15" s="90"/>
      <c r="D15" s="95"/>
      <c r="F15" s="92"/>
      <c r="H15" s="90"/>
      <c r="J15" s="95"/>
      <c r="L15" s="92"/>
      <c r="N15" s="90"/>
      <c r="P15" s="95"/>
      <c r="R15" s="92"/>
    </row>
    <row r="16" spans="2:18" ht="15.75" thickBot="1" x14ac:dyDescent="0.3">
      <c r="B16" s="139" t="s">
        <v>217</v>
      </c>
      <c r="C16" s="140">
        <f>D8-C12</f>
        <v>90.064166135339292</v>
      </c>
      <c r="D16" s="141" t="s">
        <v>99</v>
      </c>
      <c r="E16" s="140">
        <f>C16/'Input parameters'!C4</f>
        <v>45.032083067669646</v>
      </c>
      <c r="F16" s="142" t="s">
        <v>31</v>
      </c>
      <c r="H16" s="104" t="s">
        <v>218</v>
      </c>
      <c r="I16" s="150">
        <f>J8-I12</f>
        <v>51.363806744420287</v>
      </c>
      <c r="J16" s="151"/>
      <c r="K16" s="150"/>
      <c r="L16" s="107"/>
      <c r="N16" s="104" t="s">
        <v>218</v>
      </c>
      <c r="O16" s="150">
        <f>P8-O12</f>
        <v>38.700359390918962</v>
      </c>
      <c r="P16" s="151"/>
      <c r="Q16" s="150"/>
      <c r="R16" s="107"/>
    </row>
    <row r="17" spans="2:18" ht="15.75" thickBot="1" x14ac:dyDescent="0.3">
      <c r="H17" s="286"/>
      <c r="I17" s="157"/>
      <c r="J17" s="157"/>
      <c r="K17" s="157"/>
      <c r="L17" s="158"/>
    </row>
    <row r="18" spans="2:18" ht="15.75" thickBot="1" x14ac:dyDescent="0.3">
      <c r="B18" s="64" t="s">
        <v>105</v>
      </c>
      <c r="C18" s="143"/>
      <c r="D18" s="143"/>
      <c r="E18" s="143"/>
      <c r="F18" s="88"/>
      <c r="H18" s="64" t="s">
        <v>100</v>
      </c>
      <c r="I18" s="143"/>
      <c r="J18" s="143"/>
      <c r="K18" s="143"/>
      <c r="L18" s="144"/>
      <c r="N18" s="64" t="s">
        <v>101</v>
      </c>
      <c r="O18" s="143"/>
      <c r="P18" s="143"/>
      <c r="Q18" s="143"/>
      <c r="R18" s="144"/>
    </row>
    <row r="19" spans="2:18" x14ac:dyDescent="0.25">
      <c r="B19" s="90" t="s">
        <v>140</v>
      </c>
      <c r="F19" s="92"/>
      <c r="H19" s="90" t="s">
        <v>22</v>
      </c>
      <c r="I19" s="95">
        <f>C6/F6*L19</f>
        <v>0</v>
      </c>
      <c r="J19" s="95"/>
      <c r="K19" s="121">
        <f>'IGAK 2025'!K55/2</f>
        <v>0</v>
      </c>
      <c r="L19" s="136">
        <f>'IGAK 2025'!L55/2</f>
        <v>0</v>
      </c>
      <c r="N19" s="90" t="s">
        <v>22</v>
      </c>
      <c r="O19" s="95">
        <f>C6/F6*R19</f>
        <v>0</v>
      </c>
      <c r="P19" s="95"/>
      <c r="Q19" s="121">
        <f>'IGAK 2025'!K56/2</f>
        <v>0</v>
      </c>
      <c r="R19" s="136">
        <f>'IGAK 2025'!L56/2</f>
        <v>0</v>
      </c>
    </row>
    <row r="20" spans="2:18" x14ac:dyDescent="0.25">
      <c r="B20" s="90" t="s">
        <v>33</v>
      </c>
      <c r="C20" s="95">
        <f>C11</f>
        <v>139.44308810866502</v>
      </c>
      <c r="F20" s="138"/>
      <c r="H20" s="90" t="s">
        <v>23</v>
      </c>
      <c r="I20" s="95"/>
      <c r="J20" s="95">
        <f>I19-'Input parameters'!C30-'Input parameters'!C36</f>
        <v>0</v>
      </c>
      <c r="L20" s="92"/>
      <c r="N20" s="90" t="s">
        <v>23</v>
      </c>
      <c r="O20" s="95"/>
      <c r="P20" s="95">
        <f>O19-'Input parameters'!C31-'Input parameters'!C37</f>
        <v>0</v>
      </c>
      <c r="R20" s="92"/>
    </row>
    <row r="21" spans="2:18" x14ac:dyDescent="0.25">
      <c r="B21" s="90" t="s">
        <v>103</v>
      </c>
      <c r="C21" s="95">
        <f>E12</f>
        <v>0</v>
      </c>
      <c r="F21" s="138"/>
      <c r="H21" s="90" t="s">
        <v>92</v>
      </c>
      <c r="I21" s="95"/>
      <c r="J21" s="95">
        <f>K21*J20</f>
        <v>0</v>
      </c>
      <c r="K21" s="80">
        <f>E8</f>
        <v>0.9707037252023083</v>
      </c>
      <c r="L21" s="92"/>
      <c r="N21" s="90" t="s">
        <v>92</v>
      </c>
      <c r="O21" s="95"/>
      <c r="P21" s="95">
        <f>Q21*P20</f>
        <v>0</v>
      </c>
      <c r="Q21" s="80">
        <f>E8</f>
        <v>0.9707037252023083</v>
      </c>
      <c r="R21" s="92"/>
    </row>
    <row r="22" spans="2:18" x14ac:dyDescent="0.25">
      <c r="B22" s="90" t="s">
        <v>220</v>
      </c>
      <c r="C22" s="95">
        <f>C16</f>
        <v>90.064166135339292</v>
      </c>
      <c r="F22" s="138"/>
      <c r="H22" s="90" t="s">
        <v>91</v>
      </c>
      <c r="I22" s="95"/>
      <c r="J22" s="95">
        <f>J20*K22</f>
        <v>0</v>
      </c>
      <c r="K22" s="80">
        <f>E9</f>
        <v>2.9296274797691702E-2</v>
      </c>
      <c r="L22" s="92"/>
      <c r="N22" s="90" t="s">
        <v>91</v>
      </c>
      <c r="O22" s="95"/>
      <c r="P22" s="95">
        <f>P20*Q22</f>
        <v>0</v>
      </c>
      <c r="Q22" s="80">
        <f>E9</f>
        <v>2.9296274797691702E-2</v>
      </c>
      <c r="R22" s="92"/>
    </row>
    <row r="23" spans="2:18" x14ac:dyDescent="0.25">
      <c r="B23" s="90" t="s">
        <v>36</v>
      </c>
      <c r="C23" s="137">
        <f>SUM(C20:C22)</f>
        <v>229.50725424400432</v>
      </c>
      <c r="D23" s="41"/>
      <c r="F23" s="152"/>
      <c r="H23" s="90"/>
      <c r="I23" s="95"/>
      <c r="J23" s="95"/>
      <c r="L23" s="92"/>
      <c r="N23" s="90"/>
      <c r="O23" s="95"/>
      <c r="P23" s="95"/>
      <c r="R23" s="92"/>
    </row>
    <row r="24" spans="2:18" x14ac:dyDescent="0.25">
      <c r="B24" s="90" t="s">
        <v>34</v>
      </c>
      <c r="C24" s="121">
        <f>C23/D7</f>
        <v>0.9707037252023083</v>
      </c>
      <c r="F24" s="153"/>
      <c r="H24" s="90" t="s">
        <v>93</v>
      </c>
      <c r="I24" s="95">
        <f>I19*K24</f>
        <v>0</v>
      </c>
      <c r="J24" s="95"/>
      <c r="K24" s="80">
        <f>E11</f>
        <v>0.19789999999999999</v>
      </c>
      <c r="L24" s="92"/>
      <c r="N24" s="90" t="s">
        <v>93</v>
      </c>
      <c r="O24" s="95">
        <f>O19*Q24</f>
        <v>0</v>
      </c>
      <c r="P24" s="95"/>
      <c r="Q24" s="80">
        <f>E11</f>
        <v>0.19789999999999999</v>
      </c>
      <c r="R24" s="92"/>
    </row>
    <row r="25" spans="2:18" x14ac:dyDescent="0.25">
      <c r="B25" s="90"/>
      <c r="F25" s="92"/>
      <c r="H25" s="90" t="s">
        <v>94</v>
      </c>
      <c r="I25" s="137">
        <f>I24+K25</f>
        <v>0</v>
      </c>
      <c r="J25" s="95"/>
      <c r="K25" s="95">
        <f>-'Input parameters'!C30</f>
        <v>0</v>
      </c>
      <c r="L25" s="92"/>
      <c r="N25" s="90" t="s">
        <v>94</v>
      </c>
      <c r="O25" s="137">
        <f>O24+Q25</f>
        <v>0</v>
      </c>
      <c r="P25" s="95"/>
      <c r="Q25" s="95">
        <f>-'Input parameters'!C31</f>
        <v>0</v>
      </c>
      <c r="R25" s="92"/>
    </row>
    <row r="26" spans="2:18" x14ac:dyDescent="0.25">
      <c r="B26" s="90" t="s">
        <v>141</v>
      </c>
      <c r="F26" s="92"/>
      <c r="H26" s="90" t="s">
        <v>98</v>
      </c>
      <c r="I26" s="95">
        <f>I19*K26</f>
        <v>0</v>
      </c>
      <c r="J26" s="95"/>
      <c r="K26" s="80">
        <f>E13</f>
        <v>0.80210000000000004</v>
      </c>
      <c r="L26" s="92"/>
      <c r="N26" s="90" t="s">
        <v>98</v>
      </c>
      <c r="O26" s="95">
        <f>O19*Q26</f>
        <v>0</v>
      </c>
      <c r="P26" s="95"/>
      <c r="Q26" s="80">
        <f>E13</f>
        <v>0.80210000000000004</v>
      </c>
      <c r="R26" s="92"/>
    </row>
    <row r="27" spans="2:18" x14ac:dyDescent="0.25">
      <c r="B27" s="90" t="s">
        <v>35</v>
      </c>
      <c r="C27" s="95">
        <f>C13</f>
        <v>565.17079824133509</v>
      </c>
      <c r="F27" s="138"/>
      <c r="H27" s="90" t="s">
        <v>97</v>
      </c>
      <c r="I27" s="137">
        <f>I26+K27</f>
        <v>0</v>
      </c>
      <c r="J27" s="95"/>
      <c r="K27" s="95">
        <f>-'Input parameters'!C36</f>
        <v>0</v>
      </c>
      <c r="L27" s="138"/>
      <c r="N27" s="90" t="s">
        <v>97</v>
      </c>
      <c r="O27" s="137">
        <f>O26+Q27</f>
        <v>0</v>
      </c>
      <c r="P27" s="95"/>
      <c r="Q27" s="95">
        <f>-'Input parameters'!C37</f>
        <v>0</v>
      </c>
      <c r="R27" s="138"/>
    </row>
    <row r="28" spans="2:18" x14ac:dyDescent="0.25">
      <c r="B28" s="90" t="s">
        <v>104</v>
      </c>
      <c r="C28" s="95">
        <f>E14</f>
        <v>-468.18</v>
      </c>
      <c r="F28" s="138"/>
      <c r="H28" s="90"/>
      <c r="J28" s="95"/>
      <c r="L28" s="92"/>
      <c r="N28" s="90"/>
      <c r="P28" s="95"/>
      <c r="R28" s="92"/>
    </row>
    <row r="29" spans="2:18" x14ac:dyDescent="0.25">
      <c r="B29" s="90" t="s">
        <v>220</v>
      </c>
      <c r="C29" s="95">
        <f>-C22</f>
        <v>-90.064166135339292</v>
      </c>
      <c r="F29" s="138"/>
      <c r="H29" s="90" t="s">
        <v>218</v>
      </c>
      <c r="I29" s="137">
        <f>J21-I25</f>
        <v>0</v>
      </c>
      <c r="J29" s="95"/>
      <c r="K29" s="137"/>
      <c r="L29" s="92"/>
      <c r="N29" s="90" t="s">
        <v>218</v>
      </c>
      <c r="O29" s="137">
        <f>P21-O25</f>
        <v>0</v>
      </c>
      <c r="P29" s="95"/>
      <c r="Q29" s="137"/>
      <c r="R29" s="92"/>
    </row>
    <row r="30" spans="2:18" x14ac:dyDescent="0.25">
      <c r="B30" s="90" t="s">
        <v>36</v>
      </c>
      <c r="C30" s="137">
        <f>SUM(C27:C29)</f>
        <v>6.9266321059957932</v>
      </c>
      <c r="F30" s="152"/>
      <c r="H30" s="90"/>
      <c r="I30" s="137"/>
      <c r="L30" s="152"/>
      <c r="N30" s="90"/>
      <c r="O30" s="137"/>
      <c r="R30" s="152"/>
    </row>
    <row r="31" spans="2:18" ht="15.75" thickBot="1" x14ac:dyDescent="0.3">
      <c r="B31" s="104" t="s">
        <v>34</v>
      </c>
      <c r="C31" s="131">
        <f>C30/D7</f>
        <v>2.9296274797691618E-2</v>
      </c>
      <c r="D31" s="106"/>
      <c r="E31" s="106"/>
      <c r="F31" s="154"/>
      <c r="H31" s="104"/>
      <c r="I31" s="155"/>
      <c r="J31" s="106"/>
      <c r="K31" s="106"/>
      <c r="L31" s="154"/>
      <c r="N31" s="104"/>
      <c r="O31" s="155"/>
      <c r="P31" s="106"/>
      <c r="Q31" s="106"/>
      <c r="R31" s="154"/>
    </row>
    <row r="33" spans="2:18" ht="15.75" thickBot="1" x14ac:dyDescent="0.3"/>
    <row r="34" spans="2:18" ht="15.75" thickBot="1" x14ac:dyDescent="0.3">
      <c r="B34" s="64" t="s">
        <v>102</v>
      </c>
      <c r="C34" s="149"/>
      <c r="D34" s="143"/>
      <c r="E34" s="143"/>
      <c r="F34" s="144"/>
      <c r="H34" s="64" t="s">
        <v>148</v>
      </c>
      <c r="I34" s="143"/>
      <c r="J34" s="143"/>
      <c r="K34" s="143"/>
      <c r="L34" s="144"/>
      <c r="N34" s="64" t="s">
        <v>149</v>
      </c>
      <c r="O34" s="143"/>
      <c r="P34" s="143"/>
      <c r="Q34" s="143"/>
      <c r="R34" s="144"/>
    </row>
    <row r="35" spans="2:18" x14ac:dyDescent="0.25">
      <c r="B35" s="90"/>
      <c r="F35" s="92"/>
      <c r="H35" s="90" t="s">
        <v>22</v>
      </c>
      <c r="I35" s="95">
        <f>C6/F6*L35</f>
        <v>0</v>
      </c>
      <c r="J35" s="95"/>
      <c r="K35" s="121">
        <f>'IGAK 2025'!K57/2</f>
        <v>0</v>
      </c>
      <c r="L35" s="136">
        <f>'IGAK 2025'!L57/2</f>
        <v>0</v>
      </c>
      <c r="N35" s="90" t="s">
        <v>22</v>
      </c>
      <c r="O35" s="95">
        <f>C6/F6*R35</f>
        <v>0</v>
      </c>
      <c r="P35" s="95"/>
      <c r="Q35" s="121">
        <f>'IGAK 2025'!K58/2</f>
        <v>0</v>
      </c>
      <c r="R35" s="136">
        <f>'IGAK 2025'!L58/2</f>
        <v>0</v>
      </c>
    </row>
    <row r="36" spans="2:18" x14ac:dyDescent="0.25">
      <c r="B36" s="90" t="s">
        <v>22</v>
      </c>
      <c r="C36" s="95">
        <f>C6</f>
        <v>704.61388635000014</v>
      </c>
      <c r="F36" s="92"/>
      <c r="H36" s="90" t="s">
        <v>23</v>
      </c>
      <c r="I36" s="95"/>
      <c r="J36" s="95">
        <f>I35-'Input parameters'!D28-'Input parameters'!D34</f>
        <v>0</v>
      </c>
      <c r="L36" s="92"/>
      <c r="N36" s="90" t="s">
        <v>23</v>
      </c>
      <c r="O36" s="95"/>
      <c r="P36" s="95">
        <f>O35-'Input parameters'!D29-'Input parameters'!D35</f>
        <v>0</v>
      </c>
      <c r="R36" s="92"/>
    </row>
    <row r="37" spans="2:18" x14ac:dyDescent="0.25">
      <c r="B37" s="90" t="s">
        <v>48</v>
      </c>
      <c r="C37" s="95">
        <f>C36+E37</f>
        <v>704.61388635000014</v>
      </c>
      <c r="E37" s="95">
        <f>-'Input parameters'!C39</f>
        <v>0</v>
      </c>
      <c r="F37" s="92"/>
      <c r="H37" s="90" t="s">
        <v>92</v>
      </c>
      <c r="I37" s="95"/>
      <c r="J37" s="95">
        <f>K37*J36</f>
        <v>0</v>
      </c>
      <c r="K37" s="80">
        <f>E8</f>
        <v>0.9707037252023083</v>
      </c>
      <c r="L37" s="92"/>
      <c r="N37" s="90" t="s">
        <v>92</v>
      </c>
      <c r="O37" s="95"/>
      <c r="P37" s="95">
        <f>Q37*P36</f>
        <v>0</v>
      </c>
      <c r="Q37" s="80">
        <f>E8</f>
        <v>0.9707037252023083</v>
      </c>
      <c r="R37" s="92"/>
    </row>
    <row r="38" spans="2:18" x14ac:dyDescent="0.25">
      <c r="B38" s="90" t="s">
        <v>138</v>
      </c>
      <c r="C38" s="137">
        <f>C37*D38</f>
        <v>683.97132430922102</v>
      </c>
      <c r="D38" s="292">
        <f>E8</f>
        <v>0.9707037252023083</v>
      </c>
      <c r="F38" s="92"/>
      <c r="H38" s="90" t="s">
        <v>91</v>
      </c>
      <c r="I38" s="95"/>
      <c r="J38" s="95">
        <f>J36*K38</f>
        <v>0</v>
      </c>
      <c r="K38" s="80">
        <f>E9</f>
        <v>2.9296274797691702E-2</v>
      </c>
      <c r="L38" s="92"/>
      <c r="N38" s="90" t="s">
        <v>91</v>
      </c>
      <c r="O38" s="95"/>
      <c r="P38" s="95">
        <f>P36*Q38</f>
        <v>0</v>
      </c>
      <c r="Q38" s="80">
        <f>E9</f>
        <v>2.9296274797691702E-2</v>
      </c>
      <c r="R38" s="92"/>
    </row>
    <row r="39" spans="2:18" ht="15.75" thickBot="1" x14ac:dyDescent="0.3">
      <c r="B39" s="104" t="s">
        <v>139</v>
      </c>
      <c r="C39" s="150">
        <f>C37*D39</f>
        <v>20.642562040779115</v>
      </c>
      <c r="D39" s="293">
        <f>E9</f>
        <v>2.9296274797691702E-2</v>
      </c>
      <c r="E39" s="106"/>
      <c r="F39" s="107"/>
      <c r="H39" s="90"/>
      <c r="I39" s="95"/>
      <c r="J39" s="95"/>
      <c r="L39" s="92"/>
      <c r="N39" s="90"/>
      <c r="O39" s="95"/>
      <c r="P39" s="95"/>
      <c r="R39" s="92"/>
    </row>
    <row r="40" spans="2:18" x14ac:dyDescent="0.25">
      <c r="H40" s="90" t="s">
        <v>93</v>
      </c>
      <c r="I40" s="95">
        <f>I35*K40</f>
        <v>0</v>
      </c>
      <c r="J40" s="95"/>
      <c r="K40" s="80">
        <f>E11</f>
        <v>0.19789999999999999</v>
      </c>
      <c r="L40" s="92"/>
      <c r="N40" s="90" t="s">
        <v>93</v>
      </c>
      <c r="O40" s="95">
        <f>O35*Q40</f>
        <v>0</v>
      </c>
      <c r="P40" s="95"/>
      <c r="Q40" s="80">
        <f>E11</f>
        <v>0.19789999999999999</v>
      </c>
      <c r="R40" s="92"/>
    </row>
    <row r="41" spans="2:18" ht="15.75" thickBot="1" x14ac:dyDescent="0.3">
      <c r="H41" s="90" t="s">
        <v>94</v>
      </c>
      <c r="I41" s="137">
        <f>I40+K41</f>
        <v>0</v>
      </c>
      <c r="J41" s="95"/>
      <c r="K41" s="95">
        <f>-'Input parameters'!D28</f>
        <v>0</v>
      </c>
      <c r="L41" s="92"/>
      <c r="N41" s="90" t="s">
        <v>94</v>
      </c>
      <c r="O41" s="137">
        <f>O40+Q41</f>
        <v>0</v>
      </c>
      <c r="P41" s="95"/>
      <c r="Q41" s="95">
        <f>-'Input parameters'!D29</f>
        <v>0</v>
      </c>
      <c r="R41" s="92"/>
    </row>
    <row r="42" spans="2:18" ht="15.75" thickBot="1" x14ac:dyDescent="0.3">
      <c r="B42" s="64" t="s">
        <v>106</v>
      </c>
      <c r="C42" s="143"/>
      <c r="D42" s="143"/>
      <c r="E42" s="143"/>
      <c r="F42" s="144"/>
      <c r="H42" s="90" t="s">
        <v>98</v>
      </c>
      <c r="I42" s="95">
        <f>I35*K42</f>
        <v>0</v>
      </c>
      <c r="J42" s="95"/>
      <c r="K42" s="80">
        <f>E13</f>
        <v>0.80210000000000004</v>
      </c>
      <c r="L42" s="92"/>
      <c r="N42" s="90" t="s">
        <v>98</v>
      </c>
      <c r="O42" s="95">
        <f>O35*Q42</f>
        <v>0</v>
      </c>
      <c r="P42" s="95"/>
      <c r="Q42" s="80">
        <f>E13</f>
        <v>0.80210000000000004</v>
      </c>
      <c r="R42" s="92"/>
    </row>
    <row r="43" spans="2:18" x14ac:dyDescent="0.25">
      <c r="B43" s="90"/>
      <c r="F43" s="92"/>
      <c r="H43" s="90" t="s">
        <v>97</v>
      </c>
      <c r="I43" s="137">
        <f>I42+K43</f>
        <v>0</v>
      </c>
      <c r="J43" s="95"/>
      <c r="K43" s="95">
        <f>-'Input parameters'!D34</f>
        <v>0</v>
      </c>
      <c r="L43" s="138"/>
      <c r="N43" s="90" t="s">
        <v>97</v>
      </c>
      <c r="O43" s="137">
        <f>O42+Q43</f>
        <v>0</v>
      </c>
      <c r="P43" s="95"/>
      <c r="Q43" s="95">
        <f>-'Input parameters'!D35</f>
        <v>0</v>
      </c>
      <c r="R43" s="138"/>
    </row>
    <row r="44" spans="2:18" x14ac:dyDescent="0.25">
      <c r="B44" s="90" t="s">
        <v>140</v>
      </c>
      <c r="F44" s="92"/>
      <c r="H44" s="90"/>
      <c r="J44" s="95"/>
      <c r="L44" s="92"/>
      <c r="N44" s="90"/>
      <c r="P44" s="95"/>
      <c r="R44" s="92"/>
    </row>
    <row r="45" spans="2:18" ht="15.75" thickBot="1" x14ac:dyDescent="0.3">
      <c r="B45" s="90" t="s">
        <v>33</v>
      </c>
      <c r="C45" s="95">
        <f>C20</f>
        <v>139.44308810866502</v>
      </c>
      <c r="F45" s="92"/>
      <c r="H45" s="104" t="s">
        <v>218</v>
      </c>
      <c r="I45" s="150">
        <f>J37-I41</f>
        <v>0</v>
      </c>
      <c r="J45" s="151"/>
      <c r="K45" s="150"/>
      <c r="L45" s="107"/>
      <c r="N45" s="104" t="s">
        <v>218</v>
      </c>
      <c r="O45" s="150">
        <f>P37-O41</f>
        <v>0</v>
      </c>
      <c r="P45" s="151"/>
      <c r="Q45" s="150"/>
      <c r="R45" s="107"/>
    </row>
    <row r="46" spans="2:18" ht="15.75" thickBot="1" x14ac:dyDescent="0.3">
      <c r="B46" s="90" t="s">
        <v>103</v>
      </c>
      <c r="C46" s="95">
        <f>C21</f>
        <v>0</v>
      </c>
      <c r="F46" s="92"/>
    </row>
    <row r="47" spans="2:18" ht="15.75" thickBot="1" x14ac:dyDescent="0.3">
      <c r="B47" s="90" t="s">
        <v>220</v>
      </c>
      <c r="C47" s="95">
        <f>C22</f>
        <v>90.064166135339292</v>
      </c>
      <c r="F47" s="92"/>
      <c r="H47" s="64" t="s">
        <v>152</v>
      </c>
      <c r="I47" s="143"/>
      <c r="J47" s="143"/>
      <c r="K47" s="143"/>
      <c r="L47" s="144"/>
      <c r="N47" s="64" t="s">
        <v>151</v>
      </c>
      <c r="O47" s="143"/>
      <c r="P47" s="143"/>
      <c r="Q47" s="143"/>
      <c r="R47" s="144"/>
    </row>
    <row r="48" spans="2:18" x14ac:dyDescent="0.25">
      <c r="B48" s="90" t="s">
        <v>107</v>
      </c>
      <c r="C48" s="95">
        <f>C38</f>
        <v>683.97132430922102</v>
      </c>
      <c r="F48" s="92"/>
      <c r="H48" s="90" t="s">
        <v>22</v>
      </c>
      <c r="I48" s="95">
        <f>C6/F6*L48</f>
        <v>0</v>
      </c>
      <c r="J48" s="95"/>
      <c r="K48" s="121">
        <f>'IGAK 2025'!K59/2</f>
        <v>0</v>
      </c>
      <c r="L48" s="136">
        <f>'IGAK 2025'!L59/2</f>
        <v>0</v>
      </c>
      <c r="N48" s="90" t="s">
        <v>22</v>
      </c>
      <c r="O48" s="95">
        <f>C6/F6*R48</f>
        <v>0</v>
      </c>
      <c r="P48" s="95"/>
      <c r="Q48" s="121">
        <f>'IGAK 2025'!K60/2</f>
        <v>0</v>
      </c>
      <c r="R48" s="136">
        <f>'IGAK 2025'!L60/2</f>
        <v>0</v>
      </c>
    </row>
    <row r="49" spans="2:18" x14ac:dyDescent="0.25">
      <c r="B49" s="90"/>
      <c r="C49" s="137">
        <f>SUM(C45:C48)</f>
        <v>913.47857855322536</v>
      </c>
      <c r="F49" s="92"/>
      <c r="H49" s="90" t="s">
        <v>23</v>
      </c>
      <c r="I49" s="95"/>
      <c r="J49" s="95">
        <f>I48-'Input parameters'!D30-'Input parameters'!D36</f>
        <v>0</v>
      </c>
      <c r="L49" s="92"/>
      <c r="N49" s="90" t="s">
        <v>23</v>
      </c>
      <c r="O49" s="95"/>
      <c r="P49" s="95">
        <f>O48-'Input parameters'!D31-'Input parameters'!D37</f>
        <v>0</v>
      </c>
      <c r="R49" s="92"/>
    </row>
    <row r="50" spans="2:18" x14ac:dyDescent="0.25">
      <c r="B50" s="90" t="s">
        <v>108</v>
      </c>
      <c r="C50" s="121">
        <f>C49/(C37+D7)</f>
        <v>0.97070372520230841</v>
      </c>
      <c r="F50" s="92"/>
      <c r="H50" s="90" t="s">
        <v>92</v>
      </c>
      <c r="I50" s="95"/>
      <c r="J50" s="95">
        <f>K50*J49</f>
        <v>0</v>
      </c>
      <c r="K50" s="80">
        <f>E8</f>
        <v>0.9707037252023083</v>
      </c>
      <c r="L50" s="92"/>
      <c r="N50" s="90" t="s">
        <v>92</v>
      </c>
      <c r="O50" s="95"/>
      <c r="P50" s="95">
        <f>Q50*P49</f>
        <v>0</v>
      </c>
      <c r="Q50" s="80">
        <f>E8</f>
        <v>0.9707037252023083</v>
      </c>
      <c r="R50" s="92"/>
    </row>
    <row r="51" spans="2:18" x14ac:dyDescent="0.25">
      <c r="B51" s="90"/>
      <c r="C51" s="108"/>
      <c r="F51" s="92"/>
      <c r="H51" s="90" t="s">
        <v>91</v>
      </c>
      <c r="I51" s="95"/>
      <c r="J51" s="95">
        <f>J49*K51</f>
        <v>0</v>
      </c>
      <c r="K51" s="80">
        <f>E9</f>
        <v>2.9296274797691702E-2</v>
      </c>
      <c r="L51" s="92"/>
      <c r="N51" s="90" t="s">
        <v>91</v>
      </c>
      <c r="O51" s="95"/>
      <c r="P51" s="95">
        <f>P49*Q51</f>
        <v>0</v>
      </c>
      <c r="Q51" s="80">
        <f>E9</f>
        <v>2.9296274797691702E-2</v>
      </c>
      <c r="R51" s="92"/>
    </row>
    <row r="52" spans="2:18" x14ac:dyDescent="0.25">
      <c r="B52" s="90" t="s">
        <v>141</v>
      </c>
      <c r="F52" s="92"/>
      <c r="H52" s="90"/>
      <c r="I52" s="95"/>
      <c r="J52" s="95"/>
      <c r="L52" s="92"/>
      <c r="N52" s="90"/>
      <c r="O52" s="95"/>
      <c r="P52" s="95"/>
      <c r="R52" s="92"/>
    </row>
    <row r="53" spans="2:18" x14ac:dyDescent="0.25">
      <c r="B53" s="90" t="s">
        <v>33</v>
      </c>
      <c r="C53" s="95">
        <f>C27</f>
        <v>565.17079824133509</v>
      </c>
      <c r="F53" s="92"/>
      <c r="H53" s="90" t="s">
        <v>93</v>
      </c>
      <c r="I53" s="95">
        <f>I48*K53</f>
        <v>0</v>
      </c>
      <c r="J53" s="95"/>
      <c r="K53" s="80">
        <f>E11</f>
        <v>0.19789999999999999</v>
      </c>
      <c r="L53" s="92"/>
      <c r="N53" s="90" t="s">
        <v>93</v>
      </c>
      <c r="O53" s="95">
        <f>O48*Q53</f>
        <v>0</v>
      </c>
      <c r="P53" s="95"/>
      <c r="Q53" s="80">
        <f>E11</f>
        <v>0.19789999999999999</v>
      </c>
      <c r="R53" s="92"/>
    </row>
    <row r="54" spans="2:18" x14ac:dyDescent="0.25">
      <c r="B54" s="90" t="s">
        <v>103</v>
      </c>
      <c r="C54" s="95">
        <f>C28</f>
        <v>-468.18</v>
      </c>
      <c r="F54" s="92"/>
      <c r="H54" s="90" t="s">
        <v>94</v>
      </c>
      <c r="I54" s="137">
        <f>I53+K54</f>
        <v>0</v>
      </c>
      <c r="J54" s="95"/>
      <c r="K54" s="95">
        <f>-'Input parameters'!D30</f>
        <v>0</v>
      </c>
      <c r="L54" s="92"/>
      <c r="N54" s="90" t="s">
        <v>94</v>
      </c>
      <c r="O54" s="137">
        <f>O53+Q54</f>
        <v>0</v>
      </c>
      <c r="P54" s="95"/>
      <c r="Q54" s="95">
        <f>-'Input parameters'!D31</f>
        <v>0</v>
      </c>
      <c r="R54" s="92"/>
    </row>
    <row r="55" spans="2:18" x14ac:dyDescent="0.25">
      <c r="B55" s="90" t="s">
        <v>220</v>
      </c>
      <c r="C55" s="95">
        <f>C29</f>
        <v>-90.064166135339292</v>
      </c>
      <c r="F55" s="92"/>
      <c r="H55" s="90" t="s">
        <v>98</v>
      </c>
      <c r="I55" s="95">
        <f>I48*K55</f>
        <v>0</v>
      </c>
      <c r="J55" s="95"/>
      <c r="K55" s="80">
        <f>E13</f>
        <v>0.80210000000000004</v>
      </c>
      <c r="L55" s="92"/>
      <c r="N55" s="90" t="s">
        <v>98</v>
      </c>
      <c r="O55" s="95">
        <f>O48*Q55</f>
        <v>0</v>
      </c>
      <c r="P55" s="95"/>
      <c r="Q55" s="80">
        <f>E13</f>
        <v>0.80210000000000004</v>
      </c>
      <c r="R55" s="92"/>
    </row>
    <row r="56" spans="2:18" x14ac:dyDescent="0.25">
      <c r="B56" s="90" t="s">
        <v>107</v>
      </c>
      <c r="C56" s="95">
        <f>C39</f>
        <v>20.642562040779115</v>
      </c>
      <c r="F56" s="92"/>
      <c r="H56" s="90" t="s">
        <v>97</v>
      </c>
      <c r="I56" s="137">
        <f>I55+K56</f>
        <v>0</v>
      </c>
      <c r="J56" s="95"/>
      <c r="K56" s="95">
        <f>-'Input parameters'!D36</f>
        <v>0</v>
      </c>
      <c r="L56" s="138"/>
      <c r="N56" s="90" t="s">
        <v>97</v>
      </c>
      <c r="O56" s="137">
        <f>O55+Q56</f>
        <v>0</v>
      </c>
      <c r="P56" s="95"/>
      <c r="Q56" s="95">
        <f>-'Input parameters'!J43</f>
        <v>0</v>
      </c>
      <c r="R56" s="138"/>
    </row>
    <row r="57" spans="2:18" x14ac:dyDescent="0.25">
      <c r="B57" s="90"/>
      <c r="C57" s="137">
        <f>SUM(C53:C56)</f>
        <v>27.569194146774908</v>
      </c>
      <c r="F57" s="92"/>
      <c r="H57" s="90"/>
      <c r="J57" s="95"/>
      <c r="L57" s="92"/>
      <c r="N57" s="90"/>
      <c r="P57" s="95"/>
      <c r="R57" s="92"/>
    </row>
    <row r="58" spans="2:18" ht="15.75" thickBot="1" x14ac:dyDescent="0.3">
      <c r="B58" s="104" t="s">
        <v>108</v>
      </c>
      <c r="C58" s="131">
        <f>C57/(C37+D7)</f>
        <v>2.9296274797691684E-2</v>
      </c>
      <c r="D58" s="106"/>
      <c r="E58" s="106"/>
      <c r="F58" s="107"/>
      <c r="H58" s="104" t="s">
        <v>218</v>
      </c>
      <c r="I58" s="150">
        <f>J50-I54</f>
        <v>0</v>
      </c>
      <c r="J58" s="151"/>
      <c r="K58" s="150"/>
      <c r="L58" s="107"/>
      <c r="N58" s="104" t="s">
        <v>218</v>
      </c>
      <c r="O58" s="150">
        <f>P50-O54</f>
        <v>0</v>
      </c>
      <c r="P58" s="151"/>
      <c r="Q58" s="150"/>
      <c r="R58" s="107"/>
    </row>
    <row r="59" spans="2:18" x14ac:dyDescent="0.25">
      <c r="I59" s="137"/>
      <c r="L59" s="137"/>
      <c r="O59" s="137"/>
      <c r="R59" s="137"/>
    </row>
    <row r="60" spans="2:18" x14ac:dyDescent="0.25">
      <c r="I60" s="101"/>
      <c r="L60" s="108"/>
      <c r="O60" s="101"/>
      <c r="R60" s="108"/>
    </row>
  </sheetData>
  <sheetProtection algorithmName="SHA-512" hashValue="J8TQRUftBsDyFrUePnpBPHpWX8pkP+nm8fhm5ddOAGhlEdQleHRZe4pFvMuY2LLWcfB2AbmJZViYlSgxwNAsDA==" saltValue="QT0OPdMzwN076K7m71wuHA==" spinCount="100000" sheet="1" objects="1" scenarios="1" selectLockedCells="1" selectUnlockedCells="1"/>
  <pageMargins left="0.7" right="0.7" top="0.75" bottom="0.75" header="0.3" footer="0.3"/>
  <pageSetup paperSize="9" scale="4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>
    <pageSetUpPr fitToPage="1"/>
  </sheetPr>
  <dimension ref="A1:H25"/>
  <sheetViews>
    <sheetView workbookViewId="0">
      <selection activeCell="D6" sqref="D6"/>
    </sheetView>
  </sheetViews>
  <sheetFormatPr defaultColWidth="8.85546875" defaultRowHeight="15" x14ac:dyDescent="0.25"/>
  <cols>
    <col min="1" max="1" width="29.85546875" style="42" bestFit="1" customWidth="1"/>
    <col min="2" max="2" width="8.85546875" style="42"/>
    <col min="3" max="3" width="14.42578125" style="42" customWidth="1"/>
    <col min="4" max="5" width="13.28515625" style="42" bestFit="1" customWidth="1"/>
    <col min="6" max="16384" width="8.85546875" style="42"/>
  </cols>
  <sheetData>
    <row r="1" spans="1:8" ht="15.75" thickBot="1" x14ac:dyDescent="0.3">
      <c r="A1" s="156" t="s">
        <v>67</v>
      </c>
      <c r="B1" s="157"/>
      <c r="C1" s="157"/>
      <c r="D1" s="157"/>
      <c r="E1" s="158"/>
    </row>
    <row r="2" spans="1:8" x14ac:dyDescent="0.25">
      <c r="A2" s="159"/>
      <c r="B2" s="160"/>
      <c r="C2" s="160" t="s">
        <v>68</v>
      </c>
      <c r="D2" s="160" t="s">
        <v>68</v>
      </c>
      <c r="E2" s="161" t="s">
        <v>68</v>
      </c>
    </row>
    <row r="3" spans="1:8" ht="15.75" thickBot="1" x14ac:dyDescent="0.3">
      <c r="A3" s="162"/>
      <c r="B3" s="163"/>
      <c r="C3" s="163" t="s">
        <v>69</v>
      </c>
      <c r="D3" s="163" t="s">
        <v>123</v>
      </c>
      <c r="E3" s="164" t="s">
        <v>124</v>
      </c>
    </row>
    <row r="4" spans="1:8" x14ac:dyDescent="0.25">
      <c r="A4" s="90"/>
      <c r="D4" s="165" t="s">
        <v>70</v>
      </c>
      <c r="E4" s="166" t="s">
        <v>70</v>
      </c>
    </row>
    <row r="5" spans="1:8" x14ac:dyDescent="0.25">
      <c r="A5" s="90" t="s">
        <v>71</v>
      </c>
      <c r="E5" s="92"/>
    </row>
    <row r="6" spans="1:8" x14ac:dyDescent="0.25">
      <c r="A6" s="90" t="s">
        <v>72</v>
      </c>
      <c r="C6" s="167"/>
      <c r="D6" s="168">
        <v>31</v>
      </c>
      <c r="E6" s="169">
        <v>31</v>
      </c>
    </row>
    <row r="7" spans="1:8" x14ac:dyDescent="0.25">
      <c r="A7" s="90"/>
      <c r="C7" s="167"/>
      <c r="D7" s="170"/>
      <c r="E7" s="171"/>
      <c r="H7" s="170"/>
    </row>
    <row r="8" spans="1:8" x14ac:dyDescent="0.25">
      <c r="A8" s="90" t="s">
        <v>73</v>
      </c>
      <c r="C8" s="167"/>
      <c r="D8" s="168">
        <v>7</v>
      </c>
      <c r="E8" s="169">
        <v>7</v>
      </c>
    </row>
    <row r="9" spans="1:8" x14ac:dyDescent="0.25">
      <c r="A9" s="90"/>
      <c r="C9" s="167"/>
      <c r="D9" s="170"/>
      <c r="E9" s="171"/>
    </row>
    <row r="10" spans="1:8" x14ac:dyDescent="0.25">
      <c r="A10" s="90" t="s">
        <v>74</v>
      </c>
      <c r="C10" s="167"/>
      <c r="D10" s="168">
        <v>7</v>
      </c>
      <c r="E10" s="169">
        <v>7</v>
      </c>
    </row>
    <row r="11" spans="1:8" x14ac:dyDescent="0.25">
      <c r="A11" s="90"/>
      <c r="C11" s="167"/>
      <c r="D11" s="170"/>
      <c r="E11" s="171"/>
    </row>
    <row r="12" spans="1:8" x14ac:dyDescent="0.25">
      <c r="A12" s="90" t="s">
        <v>75</v>
      </c>
      <c r="C12" s="167"/>
      <c r="D12" s="168">
        <v>7</v>
      </c>
      <c r="E12" s="169">
        <v>0</v>
      </c>
    </row>
    <row r="13" spans="1:8" x14ac:dyDescent="0.25">
      <c r="A13" s="90"/>
      <c r="C13" s="167"/>
      <c r="D13" s="170"/>
      <c r="E13" s="171"/>
    </row>
    <row r="14" spans="1:8" x14ac:dyDescent="0.25">
      <c r="A14" s="90" t="s">
        <v>76</v>
      </c>
      <c r="C14" s="167"/>
      <c r="D14" s="168">
        <v>0</v>
      </c>
      <c r="E14" s="169">
        <v>7</v>
      </c>
    </row>
    <row r="15" spans="1:8" x14ac:dyDescent="0.25">
      <c r="A15" s="90"/>
      <c r="C15" s="167"/>
      <c r="D15" s="172"/>
      <c r="E15" s="173"/>
    </row>
    <row r="16" spans="1:8" x14ac:dyDescent="0.25">
      <c r="A16" s="174" t="s">
        <v>77</v>
      </c>
      <c r="B16" s="175"/>
      <c r="C16" s="176"/>
      <c r="D16" s="177">
        <f>SUM(D6:D14)</f>
        <v>52</v>
      </c>
      <c r="E16" s="178">
        <f>SUM(E6:E14)</f>
        <v>52</v>
      </c>
    </row>
    <row r="17" spans="1:5" x14ac:dyDescent="0.25">
      <c r="A17" s="90"/>
      <c r="C17" s="167"/>
      <c r="D17" s="172"/>
      <c r="E17" s="173"/>
    </row>
    <row r="18" spans="1:5" x14ac:dyDescent="0.25">
      <c r="A18" s="90" t="s">
        <v>78</v>
      </c>
      <c r="C18" s="172">
        <f>365-D16-E16</f>
        <v>261</v>
      </c>
      <c r="D18" s="179" t="s">
        <v>79</v>
      </c>
      <c r="E18" s="180" t="s">
        <v>79</v>
      </c>
    </row>
    <row r="19" spans="1:5" x14ac:dyDescent="0.25">
      <c r="A19" s="90"/>
      <c r="C19" s="167"/>
      <c r="D19" s="168">
        <v>12</v>
      </c>
      <c r="E19" s="169">
        <v>2</v>
      </c>
    </row>
    <row r="20" spans="1:5" x14ac:dyDescent="0.25">
      <c r="A20" s="90"/>
      <c r="C20" s="167"/>
      <c r="D20" s="167"/>
      <c r="E20" s="181"/>
    </row>
    <row r="21" spans="1:5" x14ac:dyDescent="0.25">
      <c r="A21" s="90" t="s">
        <v>80</v>
      </c>
      <c r="C21" s="167"/>
      <c r="D21" s="177">
        <f>C18*D19/14</f>
        <v>223.71428571428572</v>
      </c>
      <c r="E21" s="178">
        <f>C18*E19/14</f>
        <v>37.285714285714285</v>
      </c>
    </row>
    <row r="22" spans="1:5" ht="15.75" thickBot="1" x14ac:dyDescent="0.3">
      <c r="A22" s="90"/>
      <c r="C22" s="167"/>
      <c r="D22" s="172"/>
      <c r="E22" s="173"/>
    </row>
    <row r="23" spans="1:5" x14ac:dyDescent="0.25">
      <c r="A23" s="159" t="s">
        <v>44</v>
      </c>
      <c r="B23" s="160"/>
      <c r="C23" s="182">
        <f>SUM(D23:E23)</f>
        <v>365</v>
      </c>
      <c r="D23" s="183">
        <f>D21+D14+D12+D10+D8+D6</f>
        <v>275.71428571428572</v>
      </c>
      <c r="E23" s="184">
        <f>E21+E14+E12+E10+E8+E6</f>
        <v>89.285714285714278</v>
      </c>
    </row>
    <row r="24" spans="1:5" ht="15.75" thickBot="1" x14ac:dyDescent="0.3">
      <c r="A24" s="162"/>
      <c r="B24" s="163"/>
      <c r="C24" s="163"/>
      <c r="D24" s="163"/>
      <c r="E24" s="164"/>
    </row>
    <row r="25" spans="1:5" ht="15.75" thickBot="1" x14ac:dyDescent="0.3">
      <c r="A25" s="162" t="s">
        <v>81</v>
      </c>
      <c r="B25" s="163"/>
      <c r="C25" s="185">
        <f>D25+E25</f>
        <v>1</v>
      </c>
      <c r="D25" s="186">
        <f>D23/C23</f>
        <v>0.75538160469667326</v>
      </c>
      <c r="E25" s="187">
        <f>E23/C23</f>
        <v>0.2446183953033268</v>
      </c>
    </row>
  </sheetData>
  <sheetProtection algorithmName="SHA-512" hashValue="kVAt1Sznb/oimtuiZg+zDOcGBbTIJ20vwpROWouDBlMsgHOFJRBVSPziRf0neUacw8wxIVv983lyV4k0fygJNw==" saltValue="tlu9TVBQJUEkMxlFzLhjSg==" spinCount="100000" sheet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977F0-820E-4080-B37D-6A60F99227B2}">
  <dimension ref="A1:AC61"/>
  <sheetViews>
    <sheetView tabSelected="1" topLeftCell="A3" workbookViewId="0">
      <selection activeCell="D19" sqref="D19:AA43"/>
    </sheetView>
  </sheetViews>
  <sheetFormatPr defaultRowHeight="15" x14ac:dyDescent="0.25"/>
  <cols>
    <col min="3" max="3" width="11.7109375" customWidth="1"/>
    <col min="9" max="9" width="10.7109375" bestFit="1" customWidth="1"/>
    <col min="12" max="12" width="9.5703125" bestFit="1" customWidth="1"/>
    <col min="14" max="14" width="9.28515625" bestFit="1" customWidth="1"/>
    <col min="15" max="15" width="10.140625" bestFit="1" customWidth="1"/>
    <col min="27" max="27" width="9.140625" style="209"/>
  </cols>
  <sheetData>
    <row r="1" spans="2:29" x14ac:dyDescent="0.25">
      <c r="B1" s="304" t="s">
        <v>190</v>
      </c>
      <c r="C1" s="305"/>
      <c r="D1" s="305"/>
    </row>
    <row r="2" spans="2:29" x14ac:dyDescent="0.25">
      <c r="B2" s="210"/>
    </row>
    <row r="3" spans="2:29" ht="15.75" thickBot="1" x14ac:dyDescent="0.3">
      <c r="B3" s="210"/>
    </row>
    <row r="4" spans="2:29" ht="15.75" thickBot="1" x14ac:dyDescent="0.3">
      <c r="C4" s="299" t="s">
        <v>155</v>
      </c>
      <c r="D4" s="299"/>
      <c r="E4" s="299"/>
      <c r="F4" s="306" t="s">
        <v>156</v>
      </c>
      <c r="G4" s="307"/>
      <c r="H4" s="308"/>
      <c r="I4" s="308"/>
      <c r="J4" s="308"/>
      <c r="K4" s="308"/>
      <c r="L4" s="308"/>
      <c r="M4" s="308"/>
      <c r="N4" s="308"/>
      <c r="O4" s="309"/>
      <c r="Q4" s="211"/>
      <c r="R4" s="211"/>
      <c r="S4" s="211"/>
      <c r="T4" s="212"/>
      <c r="U4" s="213"/>
      <c r="V4" s="213"/>
      <c r="W4" s="213"/>
      <c r="X4" s="213"/>
      <c r="Y4" s="213"/>
      <c r="Z4" s="213"/>
      <c r="AA4" s="213"/>
      <c r="AB4" s="213"/>
      <c r="AC4" s="213"/>
    </row>
    <row r="5" spans="2:29" ht="15.75" thickBot="1" x14ac:dyDescent="0.3">
      <c r="C5" s="299"/>
      <c r="D5" s="299"/>
      <c r="E5" s="299"/>
      <c r="F5" s="310"/>
      <c r="G5" s="311"/>
      <c r="H5" s="312"/>
      <c r="I5" s="312"/>
      <c r="J5" s="312"/>
      <c r="K5" s="312"/>
      <c r="L5" s="312"/>
      <c r="M5" s="312"/>
      <c r="N5" s="312"/>
      <c r="O5" s="313"/>
      <c r="Q5" s="27" t="s">
        <v>186</v>
      </c>
      <c r="R5" s="211"/>
      <c r="S5" s="211"/>
      <c r="T5" s="213"/>
      <c r="U5" s="213"/>
      <c r="V5" s="213"/>
      <c r="W5" s="213"/>
      <c r="X5" s="213"/>
      <c r="Y5" s="213"/>
      <c r="Z5" s="213"/>
      <c r="AA5" s="213"/>
      <c r="AB5" s="213"/>
      <c r="AC5" s="213"/>
    </row>
    <row r="6" spans="2:29" ht="29.45" customHeight="1" thickBot="1" x14ac:dyDescent="0.3">
      <c r="C6" s="314"/>
      <c r="D6" s="315"/>
      <c r="E6" s="316"/>
      <c r="F6" s="302" t="s">
        <v>157</v>
      </c>
      <c r="G6" s="303"/>
      <c r="H6" s="302" t="s">
        <v>174</v>
      </c>
      <c r="I6" s="303"/>
      <c r="J6" s="302" t="s">
        <v>182</v>
      </c>
      <c r="K6" s="303"/>
      <c r="L6" s="302" t="s">
        <v>183</v>
      </c>
      <c r="M6" s="303"/>
      <c r="N6" s="302" t="s">
        <v>176</v>
      </c>
      <c r="O6" s="303"/>
      <c r="Q6" s="214" t="s">
        <v>181</v>
      </c>
      <c r="R6" s="215">
        <v>1</v>
      </c>
      <c r="S6" s="215">
        <v>2</v>
      </c>
      <c r="T6" s="215">
        <v>3</v>
      </c>
      <c r="U6" s="215">
        <v>4</v>
      </c>
      <c r="V6" s="216">
        <v>5</v>
      </c>
      <c r="W6" s="213"/>
      <c r="X6" s="213"/>
      <c r="Y6" s="213"/>
      <c r="Z6" s="213"/>
      <c r="AA6" s="213"/>
      <c r="AB6" s="213"/>
      <c r="AC6" s="213"/>
    </row>
    <row r="7" spans="2:29" ht="15.75" thickBot="1" x14ac:dyDescent="0.3">
      <c r="C7" s="299" t="s">
        <v>158</v>
      </c>
      <c r="D7" s="299"/>
      <c r="E7" s="299"/>
      <c r="F7" s="300">
        <v>0.16500000000000001</v>
      </c>
      <c r="G7" s="301"/>
      <c r="H7" s="297">
        <v>0.16750000000000001</v>
      </c>
      <c r="I7" s="301"/>
      <c r="J7" s="297">
        <v>0.17</v>
      </c>
      <c r="K7" s="301"/>
      <c r="L7" s="297">
        <v>0.16750000000000001</v>
      </c>
      <c r="M7" s="301"/>
      <c r="N7" s="300">
        <v>0.16500000000000001</v>
      </c>
      <c r="O7" s="301"/>
      <c r="Q7" s="217">
        <v>1</v>
      </c>
      <c r="R7" s="218">
        <v>3</v>
      </c>
      <c r="S7" s="218">
        <v>2</v>
      </c>
      <c r="T7" s="219">
        <v>1</v>
      </c>
      <c r="U7" s="220">
        <f>S7</f>
        <v>2</v>
      </c>
      <c r="V7" s="221">
        <f>R7</f>
        <v>3</v>
      </c>
      <c r="W7" s="8"/>
      <c r="X7" s="222"/>
      <c r="Y7" s="8"/>
      <c r="Z7" s="222"/>
      <c r="AA7" s="8"/>
      <c r="AB7" s="222"/>
      <c r="AC7" s="222"/>
    </row>
    <row r="8" spans="2:29" ht="15.75" thickBot="1" x14ac:dyDescent="0.3">
      <c r="C8" s="298" t="s">
        <v>159</v>
      </c>
      <c r="D8" s="298"/>
      <c r="E8" s="298"/>
      <c r="F8" s="297">
        <v>0.11852620087336245</v>
      </c>
      <c r="G8" s="297"/>
      <c r="H8" s="297">
        <v>0.12032205240174673</v>
      </c>
      <c r="I8" s="297"/>
      <c r="J8" s="297">
        <v>0.12211790393013101</v>
      </c>
      <c r="K8" s="297"/>
      <c r="L8" s="297">
        <v>0.12032205240174673</v>
      </c>
      <c r="M8" s="297"/>
      <c r="N8" s="297">
        <v>0.11852620087336245</v>
      </c>
      <c r="O8" s="297"/>
      <c r="Q8" s="217">
        <v>2</v>
      </c>
      <c r="R8" s="220">
        <f>R7+3</f>
        <v>6</v>
      </c>
      <c r="S8" s="220">
        <f>S7+3</f>
        <v>5</v>
      </c>
      <c r="T8" s="220">
        <f>T7+3</f>
        <v>4</v>
      </c>
      <c r="U8" s="220">
        <f t="shared" ref="U8:U14" si="0">S8</f>
        <v>5</v>
      </c>
      <c r="V8" s="221">
        <f t="shared" ref="V8:V14" si="1">R8</f>
        <v>6</v>
      </c>
      <c r="W8" s="222"/>
      <c r="X8" s="222"/>
      <c r="Y8" s="222"/>
      <c r="Z8" s="222"/>
      <c r="AA8" s="222"/>
      <c r="AB8" s="222"/>
      <c r="AC8" s="222"/>
    </row>
    <row r="9" spans="2:29" ht="15.75" thickBot="1" x14ac:dyDescent="0.3">
      <c r="C9" s="298" t="s">
        <v>160</v>
      </c>
      <c r="D9" s="298"/>
      <c r="E9" s="298"/>
      <c r="F9" s="297">
        <v>0.1024344978165939</v>
      </c>
      <c r="G9" s="297"/>
      <c r="H9" s="297">
        <v>0.10398653566229986</v>
      </c>
      <c r="I9" s="297"/>
      <c r="J9" s="297">
        <v>0.10553857350800583</v>
      </c>
      <c r="K9" s="297"/>
      <c r="L9" s="297">
        <v>0.10398653566229986</v>
      </c>
      <c r="M9" s="297"/>
      <c r="N9" s="297">
        <v>0.1024344978165939</v>
      </c>
      <c r="O9" s="297"/>
      <c r="Q9" s="217">
        <v>3</v>
      </c>
      <c r="R9" s="220">
        <f t="shared" ref="R9:R14" si="2">R8+3</f>
        <v>9</v>
      </c>
      <c r="S9" s="220">
        <f t="shared" ref="S9:S14" si="3">S8+3</f>
        <v>8</v>
      </c>
      <c r="T9" s="220">
        <f t="shared" ref="T9:T14" si="4">T8+3</f>
        <v>7</v>
      </c>
      <c r="U9" s="220">
        <f t="shared" si="0"/>
        <v>8</v>
      </c>
      <c r="V9" s="221">
        <f t="shared" si="1"/>
        <v>9</v>
      </c>
      <c r="W9" s="222"/>
      <c r="X9" s="222"/>
      <c r="Y9" s="222"/>
      <c r="Z9" s="222"/>
      <c r="AA9" s="222"/>
      <c r="AB9" s="222"/>
      <c r="AC9" s="222"/>
    </row>
    <row r="10" spans="2:29" ht="15.75" thickBot="1" x14ac:dyDescent="0.3">
      <c r="C10" s="298" t="s">
        <v>161</v>
      </c>
      <c r="D10" s="298"/>
      <c r="E10" s="298"/>
      <c r="F10" s="297">
        <v>9.5289301310043678E-2</v>
      </c>
      <c r="G10" s="297"/>
      <c r="H10" s="297">
        <v>9.6733078602620093E-2</v>
      </c>
      <c r="I10" s="297"/>
      <c r="J10" s="297">
        <v>9.8176855895196508E-2</v>
      </c>
      <c r="K10" s="297"/>
      <c r="L10" s="297">
        <v>9.6733078602620093E-2</v>
      </c>
      <c r="M10" s="297"/>
      <c r="N10" s="297">
        <v>9.5289301310043678E-2</v>
      </c>
      <c r="O10" s="297"/>
      <c r="Q10" s="217">
        <v>4</v>
      </c>
      <c r="R10" s="220">
        <f t="shared" si="2"/>
        <v>12</v>
      </c>
      <c r="S10" s="220">
        <f t="shared" si="3"/>
        <v>11</v>
      </c>
      <c r="T10" s="220">
        <f t="shared" si="4"/>
        <v>10</v>
      </c>
      <c r="U10" s="220">
        <f t="shared" si="0"/>
        <v>11</v>
      </c>
      <c r="V10" s="221">
        <f t="shared" si="1"/>
        <v>12</v>
      </c>
      <c r="W10" s="222"/>
      <c r="X10" s="222"/>
      <c r="Y10" s="222"/>
      <c r="Z10" s="222"/>
      <c r="AA10" s="222"/>
      <c r="AB10" s="222"/>
      <c r="AC10" s="222"/>
    </row>
    <row r="11" spans="2:29" ht="15.75" thickBot="1" x14ac:dyDescent="0.3">
      <c r="C11" s="298" t="s">
        <v>162</v>
      </c>
      <c r="D11" s="298"/>
      <c r="E11" s="298"/>
      <c r="F11" s="297">
        <v>9.0281659388646296E-2</v>
      </c>
      <c r="G11" s="297"/>
      <c r="H11" s="297">
        <v>9.16495633187773E-2</v>
      </c>
      <c r="I11" s="297"/>
      <c r="J11" s="297">
        <v>9.3017467248908289E-2</v>
      </c>
      <c r="K11" s="297"/>
      <c r="L11" s="297">
        <v>9.16495633187773E-2</v>
      </c>
      <c r="M11" s="297"/>
      <c r="N11" s="297">
        <v>9.0281659388646296E-2</v>
      </c>
      <c r="O11" s="297"/>
      <c r="Q11" s="217">
        <v>5</v>
      </c>
      <c r="R11" s="220">
        <f t="shared" si="2"/>
        <v>15</v>
      </c>
      <c r="S11" s="220">
        <f t="shared" si="3"/>
        <v>14</v>
      </c>
      <c r="T11" s="220">
        <f t="shared" si="4"/>
        <v>13</v>
      </c>
      <c r="U11" s="220">
        <f t="shared" si="0"/>
        <v>14</v>
      </c>
      <c r="V11" s="221">
        <f t="shared" si="1"/>
        <v>15</v>
      </c>
      <c r="W11" s="222"/>
      <c r="X11" s="222"/>
      <c r="Y11" s="222"/>
      <c r="Z11" s="222"/>
      <c r="AA11" s="222"/>
      <c r="AB11" s="222"/>
      <c r="AC11" s="222"/>
    </row>
    <row r="12" spans="2:29" ht="15.75" thickBot="1" x14ac:dyDescent="0.3">
      <c r="C12" s="298" t="s">
        <v>163</v>
      </c>
      <c r="D12" s="298"/>
      <c r="E12" s="298"/>
      <c r="F12" s="297">
        <v>8.6342794759825328E-2</v>
      </c>
      <c r="G12" s="297"/>
      <c r="H12" s="297">
        <v>8.7651018922852986E-2</v>
      </c>
      <c r="I12" s="297"/>
      <c r="J12" s="297">
        <v>8.8959243085880643E-2</v>
      </c>
      <c r="K12" s="297"/>
      <c r="L12" s="297">
        <v>8.7651018922852986E-2</v>
      </c>
      <c r="M12" s="297"/>
      <c r="N12" s="297">
        <v>8.6342794759825328E-2</v>
      </c>
      <c r="O12" s="297"/>
      <c r="Q12" s="217">
        <v>6</v>
      </c>
      <c r="R12" s="220">
        <f t="shared" si="2"/>
        <v>18</v>
      </c>
      <c r="S12" s="220">
        <f t="shared" si="3"/>
        <v>17</v>
      </c>
      <c r="T12" s="220">
        <f t="shared" si="4"/>
        <v>16</v>
      </c>
      <c r="U12" s="220">
        <f t="shared" si="0"/>
        <v>17</v>
      </c>
      <c r="V12" s="221">
        <f t="shared" si="1"/>
        <v>18</v>
      </c>
      <c r="W12" s="222"/>
      <c r="X12" s="222"/>
      <c r="Y12" s="222"/>
      <c r="Z12" s="222"/>
      <c r="AA12" s="222"/>
      <c r="AB12" s="222"/>
      <c r="AC12" s="222"/>
    </row>
    <row r="13" spans="2:29" ht="15.75" thickBot="1" x14ac:dyDescent="0.3">
      <c r="C13" s="298" t="s">
        <v>164</v>
      </c>
      <c r="D13" s="298"/>
      <c r="E13" s="298"/>
      <c r="F13" s="297">
        <v>8.3271990018714909E-2</v>
      </c>
      <c r="G13" s="297"/>
      <c r="H13" s="297">
        <v>8.4533686837180294E-2</v>
      </c>
      <c r="I13" s="297"/>
      <c r="J13" s="297">
        <v>8.5795383655645666E-2</v>
      </c>
      <c r="K13" s="297"/>
      <c r="L13" s="297">
        <v>8.4533686837180294E-2</v>
      </c>
      <c r="M13" s="297"/>
      <c r="N13" s="297">
        <v>8.3271990018714909E-2</v>
      </c>
      <c r="O13" s="297"/>
      <c r="Q13" s="217">
        <v>7</v>
      </c>
      <c r="R13" s="220">
        <f t="shared" si="2"/>
        <v>21</v>
      </c>
      <c r="S13" s="220">
        <f t="shared" si="3"/>
        <v>20</v>
      </c>
      <c r="T13" s="220">
        <f t="shared" si="4"/>
        <v>19</v>
      </c>
      <c r="U13" s="220">
        <f t="shared" si="0"/>
        <v>20</v>
      </c>
      <c r="V13" s="221">
        <f t="shared" si="1"/>
        <v>21</v>
      </c>
      <c r="W13" s="222"/>
      <c r="X13" s="222"/>
      <c r="Y13" s="222"/>
      <c r="Z13" s="222"/>
      <c r="AA13" s="222"/>
      <c r="AB13" s="222"/>
      <c r="AC13" s="222"/>
    </row>
    <row r="14" spans="2:29" ht="15.75" thickBot="1" x14ac:dyDescent="0.3">
      <c r="C14" s="298" t="s">
        <v>165</v>
      </c>
      <c r="D14" s="298"/>
      <c r="E14" s="298"/>
      <c r="F14" s="297">
        <v>8.0743722707423582E-2</v>
      </c>
      <c r="G14" s="297"/>
      <c r="H14" s="297">
        <v>8.1967112445414853E-2</v>
      </c>
      <c r="I14" s="297"/>
      <c r="J14" s="297">
        <v>8.3190502183406123E-2</v>
      </c>
      <c r="K14" s="297"/>
      <c r="L14" s="297">
        <v>8.1967112445414853E-2</v>
      </c>
      <c r="M14" s="297"/>
      <c r="N14" s="297">
        <v>8.0743722707423582E-2</v>
      </c>
      <c r="O14" s="297"/>
      <c r="Q14" s="223">
        <v>8</v>
      </c>
      <c r="R14" s="224">
        <f t="shared" si="2"/>
        <v>24</v>
      </c>
      <c r="S14" s="224">
        <f t="shared" si="3"/>
        <v>23</v>
      </c>
      <c r="T14" s="224">
        <f t="shared" si="4"/>
        <v>22</v>
      </c>
      <c r="U14" s="224">
        <f t="shared" si="0"/>
        <v>23</v>
      </c>
      <c r="V14" s="225">
        <f t="shared" si="1"/>
        <v>24</v>
      </c>
      <c r="W14" s="222"/>
      <c r="X14" s="222"/>
      <c r="Y14" s="222"/>
      <c r="Z14" s="222"/>
      <c r="AA14" s="222"/>
      <c r="AB14" s="222"/>
      <c r="AC14" s="222"/>
    </row>
    <row r="16" spans="2:29" ht="15.75" thickBot="1" x14ac:dyDescent="0.3">
      <c r="B16" s="15"/>
      <c r="C16" s="15" t="s">
        <v>180</v>
      </c>
      <c r="D16" s="226">
        <v>1</v>
      </c>
      <c r="E16" s="226">
        <v>2</v>
      </c>
      <c r="F16" s="226">
        <v>3</v>
      </c>
      <c r="G16" s="226">
        <v>4</v>
      </c>
      <c r="H16" s="226">
        <v>5</v>
      </c>
      <c r="I16" s="226">
        <v>6</v>
      </c>
      <c r="J16" s="226">
        <v>7</v>
      </c>
      <c r="K16" s="226">
        <v>8</v>
      </c>
      <c r="L16" s="226">
        <v>9</v>
      </c>
      <c r="M16" s="226">
        <v>10</v>
      </c>
      <c r="N16" s="226">
        <v>11</v>
      </c>
      <c r="O16" s="226">
        <v>12</v>
      </c>
      <c r="P16" s="226">
        <v>13</v>
      </c>
      <c r="Q16" s="226">
        <v>14</v>
      </c>
      <c r="R16" s="226">
        <v>15</v>
      </c>
      <c r="S16" s="226">
        <v>16</v>
      </c>
      <c r="T16" s="226">
        <v>17</v>
      </c>
      <c r="U16" s="226">
        <v>18</v>
      </c>
      <c r="V16" s="226">
        <v>19</v>
      </c>
      <c r="W16" s="226">
        <v>20</v>
      </c>
      <c r="X16" s="226">
        <v>21</v>
      </c>
      <c r="Y16" s="226">
        <v>22</v>
      </c>
      <c r="Z16" s="226">
        <v>23</v>
      </c>
      <c r="AA16" s="226">
        <v>24</v>
      </c>
    </row>
    <row r="17" spans="1:27" ht="61.5" thickTop="1" thickBot="1" x14ac:dyDescent="0.3">
      <c r="A17" s="227"/>
      <c r="D17" s="228" t="s">
        <v>166</v>
      </c>
      <c r="E17" s="229" t="s">
        <v>167</v>
      </c>
      <c r="F17" s="230" t="s">
        <v>168</v>
      </c>
      <c r="G17" s="231" t="s">
        <v>192</v>
      </c>
      <c r="H17" s="231" t="s">
        <v>169</v>
      </c>
      <c r="I17" s="231" t="s">
        <v>170</v>
      </c>
      <c r="J17" s="231" t="s">
        <v>193</v>
      </c>
      <c r="K17" s="231" t="s">
        <v>194</v>
      </c>
      <c r="L17" s="231" t="s">
        <v>195</v>
      </c>
      <c r="M17" s="231" t="s">
        <v>196</v>
      </c>
      <c r="N17" s="231" t="s">
        <v>197</v>
      </c>
      <c r="O17" s="231" t="s">
        <v>198</v>
      </c>
      <c r="P17" s="231" t="s">
        <v>199</v>
      </c>
      <c r="Q17" s="231" t="s">
        <v>200</v>
      </c>
      <c r="R17" s="231" t="s">
        <v>201</v>
      </c>
      <c r="S17" s="231" t="s">
        <v>202</v>
      </c>
      <c r="T17" s="231" t="s">
        <v>203</v>
      </c>
      <c r="U17" s="231" t="s">
        <v>204</v>
      </c>
      <c r="V17" s="231" t="s">
        <v>205</v>
      </c>
      <c r="W17" s="231" t="s">
        <v>206</v>
      </c>
      <c r="X17" s="231" t="s">
        <v>207</v>
      </c>
      <c r="Y17" s="232" t="s">
        <v>208</v>
      </c>
      <c r="Z17" s="233" t="s">
        <v>209</v>
      </c>
      <c r="AA17" s="234" t="s">
        <v>210</v>
      </c>
    </row>
    <row r="18" spans="1:27" ht="16.5" thickTop="1" thickBot="1" x14ac:dyDescent="0.3">
      <c r="A18" s="227"/>
      <c r="B18" s="211"/>
      <c r="C18" s="211"/>
      <c r="D18" s="282">
        <v>0.17</v>
      </c>
      <c r="E18" s="283">
        <v>0.16750000000000001</v>
      </c>
      <c r="F18" s="283">
        <v>0.16500000000000001</v>
      </c>
      <c r="G18" s="283">
        <v>0.1221</v>
      </c>
      <c r="H18" s="283">
        <v>0.1203</v>
      </c>
      <c r="I18" s="283">
        <v>0.11849999999999999</v>
      </c>
      <c r="J18" s="283">
        <v>0.1055</v>
      </c>
      <c r="K18" s="283">
        <v>0.104</v>
      </c>
      <c r="L18" s="283">
        <v>0.1024</v>
      </c>
      <c r="M18" s="283">
        <v>9.8199999999999996E-2</v>
      </c>
      <c r="N18" s="283">
        <v>9.6699999999999994E-2</v>
      </c>
      <c r="O18" s="283">
        <v>9.5299999999999996E-2</v>
      </c>
      <c r="P18" s="283">
        <v>9.2999999999999999E-2</v>
      </c>
      <c r="Q18" s="283">
        <v>9.1600000000000001E-2</v>
      </c>
      <c r="R18" s="283">
        <v>9.0300000000000005E-2</v>
      </c>
      <c r="S18" s="283">
        <v>8.8999999999999996E-2</v>
      </c>
      <c r="T18" s="283">
        <v>8.77E-2</v>
      </c>
      <c r="U18" s="283">
        <v>8.6300000000000002E-2</v>
      </c>
      <c r="V18" s="283">
        <v>8.5800000000000001E-2</v>
      </c>
      <c r="W18" s="283">
        <v>8.4500000000000006E-2</v>
      </c>
      <c r="X18" s="283">
        <v>8.3299999999999999E-2</v>
      </c>
      <c r="Y18" s="283">
        <v>8.3199999999999996E-2</v>
      </c>
      <c r="Z18" s="284">
        <v>8.2000000000000003E-2</v>
      </c>
      <c r="AA18" s="285">
        <v>8.0699999999999994E-2</v>
      </c>
    </row>
    <row r="19" spans="1:27" ht="18.600000000000001" customHeight="1" thickTop="1" x14ac:dyDescent="0.25">
      <c r="A19" s="227"/>
      <c r="B19" s="235">
        <v>0</v>
      </c>
      <c r="C19" s="236" t="s">
        <v>171</v>
      </c>
      <c r="D19" s="237">
        <v>0.15144766146993313</v>
      </c>
      <c r="E19" s="238">
        <v>0.14922048997772822</v>
      </c>
      <c r="F19" s="238">
        <v>0.14699331848552333</v>
      </c>
      <c r="G19" s="238">
        <v>0.10877505567928726</v>
      </c>
      <c r="H19" s="238">
        <v>0.10717149220489973</v>
      </c>
      <c r="I19" s="238">
        <v>0.1055679287305122</v>
      </c>
      <c r="J19" s="238">
        <v>9.3986636971046728E-2</v>
      </c>
      <c r="K19" s="238">
        <v>9.2650334075723789E-2</v>
      </c>
      <c r="L19" s="238">
        <v>9.1224944320712653E-2</v>
      </c>
      <c r="M19" s="238">
        <v>8.7483296213808417E-2</v>
      </c>
      <c r="N19" s="238">
        <v>8.6146993318485479E-2</v>
      </c>
      <c r="O19" s="238">
        <v>8.4899777282850739E-2</v>
      </c>
      <c r="P19" s="238">
        <v>8.2850779510022232E-2</v>
      </c>
      <c r="Q19" s="238">
        <v>8.1603563474387492E-2</v>
      </c>
      <c r="R19" s="238">
        <v>8.0445434298440949E-2</v>
      </c>
      <c r="S19" s="238">
        <v>7.9287305122494392E-2</v>
      </c>
      <c r="T19" s="238">
        <v>7.8129175946547849E-2</v>
      </c>
      <c r="U19" s="238">
        <v>7.6881959910913109E-2</v>
      </c>
      <c r="V19" s="238">
        <v>7.6436525612472134E-2</v>
      </c>
      <c r="W19" s="238">
        <v>7.5278396436525591E-2</v>
      </c>
      <c r="X19" s="238">
        <v>7.4209354120267232E-2</v>
      </c>
      <c r="Y19" s="238">
        <v>7.4120267260579034E-2</v>
      </c>
      <c r="Z19" s="238">
        <v>7.3051224944320689E-2</v>
      </c>
      <c r="AA19" s="239">
        <v>7.1893095768374132E-2</v>
      </c>
    </row>
    <row r="20" spans="1:27" x14ac:dyDescent="0.25">
      <c r="A20" s="227"/>
      <c r="B20" s="240">
        <v>1</v>
      </c>
      <c r="C20" s="241" t="s">
        <v>171</v>
      </c>
      <c r="D20" s="242">
        <v>0.15144766146993313</v>
      </c>
      <c r="E20" s="243">
        <v>0.14922048997772822</v>
      </c>
      <c r="F20" s="243">
        <v>0.14699331848552333</v>
      </c>
      <c r="G20" s="243">
        <v>0.10877505567928726</v>
      </c>
      <c r="H20" s="243">
        <v>0.10717149220489973</v>
      </c>
      <c r="I20" s="243">
        <v>0.1055679287305122</v>
      </c>
      <c r="J20" s="243">
        <v>9.3986636971046728E-2</v>
      </c>
      <c r="K20" s="243">
        <v>9.2650334075723789E-2</v>
      </c>
      <c r="L20" s="243">
        <v>9.1224944320712653E-2</v>
      </c>
      <c r="M20" s="243">
        <v>8.7483296213808417E-2</v>
      </c>
      <c r="N20" s="243">
        <v>8.6146993318485479E-2</v>
      </c>
      <c r="O20" s="243">
        <v>8.4899777282850739E-2</v>
      </c>
      <c r="P20" s="243">
        <v>8.2850779510022232E-2</v>
      </c>
      <c r="Q20" s="243">
        <v>8.1603563474387492E-2</v>
      </c>
      <c r="R20" s="243">
        <v>8.0445434298440949E-2</v>
      </c>
      <c r="S20" s="243">
        <v>7.9287305122494392E-2</v>
      </c>
      <c r="T20" s="243">
        <v>7.8129175946547849E-2</v>
      </c>
      <c r="U20" s="243">
        <v>7.6881959910913109E-2</v>
      </c>
      <c r="V20" s="243">
        <v>7.6436525612472134E-2</v>
      </c>
      <c r="W20" s="243">
        <v>7.5278396436525591E-2</v>
      </c>
      <c r="X20" s="243">
        <v>7.4209354120267232E-2</v>
      </c>
      <c r="Y20" s="243">
        <v>7.4120267260579034E-2</v>
      </c>
      <c r="Z20" s="243">
        <v>7.3051224944320689E-2</v>
      </c>
      <c r="AA20" s="244">
        <v>7.1893095768374132E-2</v>
      </c>
    </row>
    <row r="21" spans="1:27" x14ac:dyDescent="0.25">
      <c r="A21" s="227"/>
      <c r="B21" s="240">
        <v>2</v>
      </c>
      <c r="C21" s="241" t="s">
        <v>171</v>
      </c>
      <c r="D21" s="242">
        <v>0.15144766146993313</v>
      </c>
      <c r="E21" s="243">
        <v>0.14922048997772822</v>
      </c>
      <c r="F21" s="243">
        <v>0.14699331848552333</v>
      </c>
      <c r="G21" s="243">
        <v>0.10877505567928726</v>
      </c>
      <c r="H21" s="243">
        <v>0.10717149220489973</v>
      </c>
      <c r="I21" s="243">
        <v>0.1055679287305122</v>
      </c>
      <c r="J21" s="243">
        <v>9.3986636971046728E-2</v>
      </c>
      <c r="K21" s="243">
        <v>9.2650334075723789E-2</v>
      </c>
      <c r="L21" s="243">
        <v>9.1224944320712653E-2</v>
      </c>
      <c r="M21" s="243">
        <v>8.7483296213808417E-2</v>
      </c>
      <c r="N21" s="243">
        <v>8.6146993318485479E-2</v>
      </c>
      <c r="O21" s="243">
        <v>8.4899777282850739E-2</v>
      </c>
      <c r="P21" s="243">
        <v>8.2850779510022232E-2</v>
      </c>
      <c r="Q21" s="243">
        <v>8.1603563474387492E-2</v>
      </c>
      <c r="R21" s="243">
        <v>8.0445434298440949E-2</v>
      </c>
      <c r="S21" s="243">
        <v>7.9287305122494392E-2</v>
      </c>
      <c r="T21" s="243">
        <v>7.8129175946547849E-2</v>
      </c>
      <c r="U21" s="243">
        <v>7.6881959910913109E-2</v>
      </c>
      <c r="V21" s="243">
        <v>7.6436525612472134E-2</v>
      </c>
      <c r="W21" s="243">
        <v>7.5278396436525591E-2</v>
      </c>
      <c r="X21" s="243">
        <v>7.4209354120267232E-2</v>
      </c>
      <c r="Y21" s="243">
        <v>7.4120267260579034E-2</v>
      </c>
      <c r="Z21" s="243">
        <v>7.3051224944320689E-2</v>
      </c>
      <c r="AA21" s="244">
        <v>7.1893095768374132E-2</v>
      </c>
    </row>
    <row r="22" spans="1:27" x14ac:dyDescent="0.25">
      <c r="A22" s="227"/>
      <c r="B22" s="240">
        <v>3</v>
      </c>
      <c r="C22" s="241" t="s">
        <v>171</v>
      </c>
      <c r="D22" s="242">
        <v>0.15144766146993313</v>
      </c>
      <c r="E22" s="243">
        <v>0.14922048997772822</v>
      </c>
      <c r="F22" s="243">
        <v>0.14699331848552333</v>
      </c>
      <c r="G22" s="243">
        <v>0.10877505567928726</v>
      </c>
      <c r="H22" s="243">
        <v>0.10717149220489973</v>
      </c>
      <c r="I22" s="243">
        <v>0.1055679287305122</v>
      </c>
      <c r="J22" s="243">
        <v>9.3986636971046728E-2</v>
      </c>
      <c r="K22" s="243">
        <v>9.2650334075723789E-2</v>
      </c>
      <c r="L22" s="243">
        <v>9.1224944320712653E-2</v>
      </c>
      <c r="M22" s="243">
        <v>8.7483296213808417E-2</v>
      </c>
      <c r="N22" s="243">
        <v>8.6146993318485479E-2</v>
      </c>
      <c r="O22" s="243">
        <v>8.4899777282850739E-2</v>
      </c>
      <c r="P22" s="243">
        <v>8.2850779510022232E-2</v>
      </c>
      <c r="Q22" s="243">
        <v>8.1603563474387492E-2</v>
      </c>
      <c r="R22" s="243">
        <v>8.0445434298440949E-2</v>
      </c>
      <c r="S22" s="243">
        <v>7.9287305122494392E-2</v>
      </c>
      <c r="T22" s="243">
        <v>7.8129175946547849E-2</v>
      </c>
      <c r="U22" s="243">
        <v>7.6881959910913109E-2</v>
      </c>
      <c r="V22" s="243">
        <v>7.6436525612472134E-2</v>
      </c>
      <c r="W22" s="243">
        <v>7.5278396436525591E-2</v>
      </c>
      <c r="X22" s="243">
        <v>7.4209354120267232E-2</v>
      </c>
      <c r="Y22" s="243">
        <v>7.4120267260579034E-2</v>
      </c>
      <c r="Z22" s="243">
        <v>7.3051224944320689E-2</v>
      </c>
      <c r="AA22" s="244">
        <v>7.1893095768374132E-2</v>
      </c>
    </row>
    <row r="23" spans="1:27" x14ac:dyDescent="0.25">
      <c r="A23" s="227"/>
      <c r="B23" s="240">
        <v>4</v>
      </c>
      <c r="C23" s="241" t="s">
        <v>171</v>
      </c>
      <c r="D23" s="242">
        <v>0.15144766146993313</v>
      </c>
      <c r="E23" s="243">
        <v>0.14922048997772822</v>
      </c>
      <c r="F23" s="243">
        <v>0.14699331848552333</v>
      </c>
      <c r="G23" s="243">
        <v>0.10877505567928726</v>
      </c>
      <c r="H23" s="243">
        <v>0.10717149220489973</v>
      </c>
      <c r="I23" s="243">
        <v>0.1055679287305122</v>
      </c>
      <c r="J23" s="243">
        <v>9.3986636971046728E-2</v>
      </c>
      <c r="K23" s="243">
        <v>9.2650334075723789E-2</v>
      </c>
      <c r="L23" s="243">
        <v>9.1224944320712653E-2</v>
      </c>
      <c r="M23" s="243">
        <v>8.7483296213808417E-2</v>
      </c>
      <c r="N23" s="243">
        <v>8.6146993318485479E-2</v>
      </c>
      <c r="O23" s="243">
        <v>8.4899777282850739E-2</v>
      </c>
      <c r="P23" s="243">
        <v>8.2850779510022232E-2</v>
      </c>
      <c r="Q23" s="243">
        <v>8.1603563474387492E-2</v>
      </c>
      <c r="R23" s="243">
        <v>8.0445434298440949E-2</v>
      </c>
      <c r="S23" s="243">
        <v>7.9287305122494392E-2</v>
      </c>
      <c r="T23" s="243">
        <v>7.8129175946547849E-2</v>
      </c>
      <c r="U23" s="243">
        <v>7.6881959910913109E-2</v>
      </c>
      <c r="V23" s="243">
        <v>7.6436525612472134E-2</v>
      </c>
      <c r="W23" s="243">
        <v>7.5278396436525591E-2</v>
      </c>
      <c r="X23" s="243">
        <v>7.4209354120267232E-2</v>
      </c>
      <c r="Y23" s="243">
        <v>7.4120267260579034E-2</v>
      </c>
      <c r="Z23" s="243">
        <v>7.3051224944320689E-2</v>
      </c>
      <c r="AA23" s="244">
        <v>7.1893095768374132E-2</v>
      </c>
    </row>
    <row r="24" spans="1:27" x14ac:dyDescent="0.25">
      <c r="A24" s="227"/>
      <c r="B24" s="240">
        <v>5</v>
      </c>
      <c r="C24" s="241" t="s">
        <v>171</v>
      </c>
      <c r="D24" s="242">
        <v>0.15144766146993313</v>
      </c>
      <c r="E24" s="243">
        <v>0.14922048997772822</v>
      </c>
      <c r="F24" s="243">
        <v>0.14699331848552333</v>
      </c>
      <c r="G24" s="243">
        <v>0.10877505567928726</v>
      </c>
      <c r="H24" s="243">
        <v>0.10717149220489973</v>
      </c>
      <c r="I24" s="243">
        <v>0.1055679287305122</v>
      </c>
      <c r="J24" s="243">
        <v>9.3986636971046728E-2</v>
      </c>
      <c r="K24" s="243">
        <v>9.2650334075723789E-2</v>
      </c>
      <c r="L24" s="243">
        <v>9.1224944320712653E-2</v>
      </c>
      <c r="M24" s="243">
        <v>8.7483296213808417E-2</v>
      </c>
      <c r="N24" s="243">
        <v>8.6146993318485479E-2</v>
      </c>
      <c r="O24" s="243">
        <v>8.4899777282850739E-2</v>
      </c>
      <c r="P24" s="243">
        <v>8.2850779510022232E-2</v>
      </c>
      <c r="Q24" s="243">
        <v>8.1603563474387492E-2</v>
      </c>
      <c r="R24" s="243">
        <v>8.0445434298440949E-2</v>
      </c>
      <c r="S24" s="243">
        <v>7.9287305122494392E-2</v>
      </c>
      <c r="T24" s="243">
        <v>7.8129175946547849E-2</v>
      </c>
      <c r="U24" s="243">
        <v>7.6881959910913109E-2</v>
      </c>
      <c r="V24" s="243">
        <v>7.6436525612472134E-2</v>
      </c>
      <c r="W24" s="243">
        <v>7.5278396436525591E-2</v>
      </c>
      <c r="X24" s="243">
        <v>7.4209354120267232E-2</v>
      </c>
      <c r="Y24" s="243">
        <v>7.4120267260579034E-2</v>
      </c>
      <c r="Z24" s="243">
        <v>7.3051224944320689E-2</v>
      </c>
      <c r="AA24" s="244">
        <v>7.1893095768374132E-2</v>
      </c>
    </row>
    <row r="25" spans="1:27" x14ac:dyDescent="0.25">
      <c r="A25" s="227"/>
      <c r="B25" s="240">
        <v>6</v>
      </c>
      <c r="C25" s="241" t="s">
        <v>171</v>
      </c>
      <c r="D25" s="242">
        <v>0.1538461538461538</v>
      </c>
      <c r="E25" s="243">
        <v>0.15158371040723978</v>
      </c>
      <c r="F25" s="243">
        <v>0.14932126696832573</v>
      </c>
      <c r="G25" s="243">
        <v>0.11049773755656105</v>
      </c>
      <c r="H25" s="243">
        <v>0.10886877828054295</v>
      </c>
      <c r="I25" s="243">
        <v>0.10723981900452484</v>
      </c>
      <c r="J25" s="243">
        <v>9.5475113122171912E-2</v>
      </c>
      <c r="K25" s="243">
        <v>9.4117647058823486E-2</v>
      </c>
      <c r="L25" s="243">
        <v>9.2669683257918523E-2</v>
      </c>
      <c r="M25" s="243">
        <v>8.8868778280542945E-2</v>
      </c>
      <c r="N25" s="243">
        <v>8.7511312217194534E-2</v>
      </c>
      <c r="O25" s="243">
        <v>8.6244343891402675E-2</v>
      </c>
      <c r="P25" s="243">
        <v>8.4162895927601775E-2</v>
      </c>
      <c r="Q25" s="243">
        <v>8.2895927601809929E-2</v>
      </c>
      <c r="R25" s="243">
        <v>8.1719457013574637E-2</v>
      </c>
      <c r="S25" s="243">
        <v>8.054298642533933E-2</v>
      </c>
      <c r="T25" s="243">
        <v>7.9366515837104037E-2</v>
      </c>
      <c r="U25" s="243">
        <v>7.8099547511312192E-2</v>
      </c>
      <c r="V25" s="243">
        <v>7.7647058823529388E-2</v>
      </c>
      <c r="W25" s="243">
        <v>7.6470588235294096E-2</v>
      </c>
      <c r="X25" s="243">
        <v>7.5384615384615355E-2</v>
      </c>
      <c r="Y25" s="243">
        <v>7.5294117647058789E-2</v>
      </c>
      <c r="Z25" s="243">
        <v>7.4208144796380063E-2</v>
      </c>
      <c r="AA25" s="244">
        <v>7.3031674208144756E-2</v>
      </c>
    </row>
    <row r="26" spans="1:27" x14ac:dyDescent="0.25">
      <c r="A26" s="227"/>
      <c r="B26" s="240">
        <v>7</v>
      </c>
      <c r="C26" s="241" t="s">
        <v>171</v>
      </c>
      <c r="D26" s="242">
        <v>0.15632183908045974</v>
      </c>
      <c r="E26" s="243">
        <v>0.15402298850574708</v>
      </c>
      <c r="F26" s="243">
        <v>0.15172413793103445</v>
      </c>
      <c r="G26" s="243">
        <v>0.11227586206896548</v>
      </c>
      <c r="H26" s="243">
        <v>0.11062068965517238</v>
      </c>
      <c r="I26" s="243">
        <v>0.10896551724137928</v>
      </c>
      <c r="J26" s="243">
        <v>9.7011494252873531E-2</v>
      </c>
      <c r="K26" s="243">
        <v>9.563218390804594E-2</v>
      </c>
      <c r="L26" s="243">
        <v>9.4160919540229857E-2</v>
      </c>
      <c r="M26" s="243">
        <v>9.0298850574712611E-2</v>
      </c>
      <c r="N26" s="243">
        <v>8.8919540229885019E-2</v>
      </c>
      <c r="O26" s="243">
        <v>8.7632183908045946E-2</v>
      </c>
      <c r="P26" s="243">
        <v>8.5517241379310313E-2</v>
      </c>
      <c r="Q26" s="243">
        <v>8.422988505747124E-2</v>
      </c>
      <c r="R26" s="243">
        <v>8.3034482758620673E-2</v>
      </c>
      <c r="S26" s="243">
        <v>8.1839080459770078E-2</v>
      </c>
      <c r="T26" s="243">
        <v>8.064367816091951E-2</v>
      </c>
      <c r="U26" s="243">
        <v>7.9356321839080438E-2</v>
      </c>
      <c r="V26" s="243">
        <v>7.8896551724137912E-2</v>
      </c>
      <c r="W26" s="243">
        <v>7.770114942528733E-2</v>
      </c>
      <c r="X26" s="243">
        <v>7.6597701149425268E-2</v>
      </c>
      <c r="Y26" s="243">
        <v>7.6505747126436749E-2</v>
      </c>
      <c r="Z26" s="243">
        <v>7.5402298850574687E-2</v>
      </c>
      <c r="AA26" s="244">
        <v>7.4206896551724105E-2</v>
      </c>
    </row>
    <row r="27" spans="1:27" x14ac:dyDescent="0.25">
      <c r="A27" s="227"/>
      <c r="B27" s="240">
        <v>8</v>
      </c>
      <c r="C27" s="241" t="s">
        <v>171</v>
      </c>
      <c r="D27" s="242">
        <v>0.15887850467289716</v>
      </c>
      <c r="E27" s="243">
        <v>0.15654205607476632</v>
      </c>
      <c r="F27" s="243">
        <v>0.15420560747663548</v>
      </c>
      <c r="G27" s="243">
        <v>0.11411214953271025</v>
      </c>
      <c r="H27" s="243">
        <v>0.11242990654205605</v>
      </c>
      <c r="I27" s="243">
        <v>0.11074766355140184</v>
      </c>
      <c r="J27" s="243">
        <v>9.859813084112147E-2</v>
      </c>
      <c r="K27" s="243">
        <v>9.7196261682242963E-2</v>
      </c>
      <c r="L27" s="243">
        <v>9.5700934579439234E-2</v>
      </c>
      <c r="M27" s="243">
        <v>9.1775700934579416E-2</v>
      </c>
      <c r="N27" s="243">
        <v>9.0373831775700908E-2</v>
      </c>
      <c r="O27" s="243">
        <v>8.9065420560747635E-2</v>
      </c>
      <c r="P27" s="243">
        <v>8.6915887850467263E-2</v>
      </c>
      <c r="Q27" s="243">
        <v>8.560747663551399E-2</v>
      </c>
      <c r="R27" s="243">
        <v>8.4392523364485966E-2</v>
      </c>
      <c r="S27" s="243">
        <v>8.3177570093457914E-2</v>
      </c>
      <c r="T27" s="243">
        <v>8.196261682242989E-2</v>
      </c>
      <c r="U27" s="243">
        <v>8.0654205607476617E-2</v>
      </c>
      <c r="V27" s="243">
        <v>8.0186915887850443E-2</v>
      </c>
      <c r="W27" s="243">
        <v>7.8971962616822419E-2</v>
      </c>
      <c r="X27" s="243">
        <v>7.7850467289719602E-2</v>
      </c>
      <c r="Y27" s="243">
        <v>7.7757009345794367E-2</v>
      </c>
      <c r="Z27" s="243">
        <v>7.6635514018691578E-2</v>
      </c>
      <c r="AA27" s="244">
        <v>7.5420560747663526E-2</v>
      </c>
    </row>
    <row r="28" spans="1:27" x14ac:dyDescent="0.25">
      <c r="A28" s="227"/>
      <c r="B28" s="240">
        <v>9</v>
      </c>
      <c r="C28" s="241" t="s">
        <v>171</v>
      </c>
      <c r="D28" s="242">
        <v>0.16152019002375295</v>
      </c>
      <c r="E28" s="243">
        <v>0.15914489311163893</v>
      </c>
      <c r="F28" s="243">
        <v>0.15676959619952491</v>
      </c>
      <c r="G28" s="243">
        <v>0.11600950118764844</v>
      </c>
      <c r="H28" s="243">
        <v>0.11429928741092635</v>
      </c>
      <c r="I28" s="243">
        <v>0.11258907363420424</v>
      </c>
      <c r="J28" s="243">
        <v>0.10023752969121137</v>
      </c>
      <c r="K28" s="243">
        <v>9.8812351543942967E-2</v>
      </c>
      <c r="L28" s="243">
        <v>9.7292161520190004E-2</v>
      </c>
      <c r="M28" s="243">
        <v>9.3301662707838462E-2</v>
      </c>
      <c r="N28" s="243">
        <v>9.1876484560570043E-2</v>
      </c>
      <c r="O28" s="243">
        <v>9.0546318289786196E-2</v>
      </c>
      <c r="P28" s="243">
        <v>8.8361045130641316E-2</v>
      </c>
      <c r="Q28" s="243">
        <v>8.7030878859857469E-2</v>
      </c>
      <c r="R28" s="243">
        <v>8.5795724465558179E-2</v>
      </c>
      <c r="S28" s="243">
        <v>8.4560570071258889E-2</v>
      </c>
      <c r="T28" s="243">
        <v>8.3325415676959599E-2</v>
      </c>
      <c r="U28" s="243">
        <v>8.1995249406175752E-2</v>
      </c>
      <c r="V28" s="243">
        <v>8.152019002375295E-2</v>
      </c>
      <c r="W28" s="243">
        <v>8.0285035629453674E-2</v>
      </c>
      <c r="X28" s="243">
        <v>7.9144893111638942E-2</v>
      </c>
      <c r="Y28" s="243">
        <v>7.9049881235154371E-2</v>
      </c>
      <c r="Z28" s="243">
        <v>7.7909738717339652E-2</v>
      </c>
      <c r="AA28" s="244">
        <v>7.6674584323040362E-2</v>
      </c>
    </row>
    <row r="29" spans="1:27" x14ac:dyDescent="0.25">
      <c r="A29" s="227"/>
      <c r="B29" s="240">
        <v>10</v>
      </c>
      <c r="C29" s="241" t="s">
        <v>171</v>
      </c>
      <c r="D29" s="242">
        <v>0.16425120772946858</v>
      </c>
      <c r="E29" s="243">
        <v>0.16183574879227053</v>
      </c>
      <c r="F29" s="243">
        <v>0.15942028985507245</v>
      </c>
      <c r="G29" s="243">
        <v>0.1179710144927536</v>
      </c>
      <c r="H29" s="243">
        <v>0.116231884057971</v>
      </c>
      <c r="I29" s="243">
        <v>0.11449275362318838</v>
      </c>
      <c r="J29" s="243">
        <v>0.10193236714975844</v>
      </c>
      <c r="K29" s="243">
        <v>0.1004830917874396</v>
      </c>
      <c r="L29" s="243">
        <v>9.8937198067632848E-2</v>
      </c>
      <c r="M29" s="243">
        <v>9.4879227053140086E-2</v>
      </c>
      <c r="N29" s="243">
        <v>9.3429951690821245E-2</v>
      </c>
      <c r="O29" s="243">
        <v>9.2077294685990324E-2</v>
      </c>
      <c r="P29" s="243">
        <v>8.9855072463768101E-2</v>
      </c>
      <c r="Q29" s="243">
        <v>8.8502415458937181E-2</v>
      </c>
      <c r="R29" s="243">
        <v>8.7246376811594195E-2</v>
      </c>
      <c r="S29" s="243">
        <v>8.5990338164251195E-2</v>
      </c>
      <c r="T29" s="243">
        <v>8.4734299516908196E-2</v>
      </c>
      <c r="U29" s="243">
        <v>8.3381642512077289E-2</v>
      </c>
      <c r="V29" s="243">
        <v>8.2898550724637671E-2</v>
      </c>
      <c r="W29" s="243">
        <v>8.1642512077294685E-2</v>
      </c>
      <c r="X29" s="243">
        <v>8.0483091787439606E-2</v>
      </c>
      <c r="Y29" s="243">
        <v>8.0386473429951671E-2</v>
      </c>
      <c r="Z29" s="243">
        <v>7.9227053140096607E-2</v>
      </c>
      <c r="AA29" s="244">
        <v>7.7971014492753607E-2</v>
      </c>
    </row>
    <row r="30" spans="1:27" x14ac:dyDescent="0.25">
      <c r="A30" s="227"/>
      <c r="B30" s="240">
        <v>11</v>
      </c>
      <c r="C30" s="241" t="s">
        <v>171</v>
      </c>
      <c r="D30" s="242">
        <v>0.16707616707616707</v>
      </c>
      <c r="E30" s="243">
        <v>0.16461916461916462</v>
      </c>
      <c r="F30" s="243">
        <v>0.16216216216216217</v>
      </c>
      <c r="G30" s="243">
        <v>0.12</v>
      </c>
      <c r="H30" s="243">
        <v>0.11823095823095822</v>
      </c>
      <c r="I30" s="243">
        <v>0.11646191646191645</v>
      </c>
      <c r="J30" s="243">
        <v>0.10368550368550368</v>
      </c>
      <c r="K30" s="243">
        <v>0.1022113022113022</v>
      </c>
      <c r="L30" s="243">
        <v>0.10063882063882064</v>
      </c>
      <c r="M30" s="243">
        <v>9.6511056511056501E-2</v>
      </c>
      <c r="N30" s="243">
        <v>9.5036855036855022E-2</v>
      </c>
      <c r="O30" s="243">
        <v>9.3660933660933657E-2</v>
      </c>
      <c r="P30" s="243">
        <v>9.140049140049139E-2</v>
      </c>
      <c r="Q30" s="243">
        <v>9.0024570024570025E-2</v>
      </c>
      <c r="R30" s="243">
        <v>8.8746928746928744E-2</v>
      </c>
      <c r="S30" s="243">
        <v>8.7469287469287463E-2</v>
      </c>
      <c r="T30" s="243">
        <v>8.6191646191646182E-2</v>
      </c>
      <c r="U30" s="243">
        <v>8.4815724815724816E-2</v>
      </c>
      <c r="V30" s="243">
        <v>8.4324324324324323E-2</v>
      </c>
      <c r="W30" s="243">
        <v>8.3046683046683042E-2</v>
      </c>
      <c r="X30" s="243">
        <v>8.186732186732186E-2</v>
      </c>
      <c r="Y30" s="243">
        <v>8.1769041769041761E-2</v>
      </c>
      <c r="Z30" s="243">
        <v>8.0589680589680593E-2</v>
      </c>
      <c r="AA30" s="244">
        <v>7.9312039312039298E-2</v>
      </c>
    </row>
    <row r="31" spans="1:27" x14ac:dyDescent="0.25">
      <c r="A31" s="227"/>
      <c r="B31" s="240">
        <v>12</v>
      </c>
      <c r="C31" s="241" t="s">
        <v>171</v>
      </c>
      <c r="D31" s="245">
        <v>0.17</v>
      </c>
      <c r="E31" s="246">
        <v>0.16750000000000001</v>
      </c>
      <c r="F31" s="246">
        <v>0.16500000000000001</v>
      </c>
      <c r="G31" s="246">
        <v>0.1221</v>
      </c>
      <c r="H31" s="246">
        <v>0.1203</v>
      </c>
      <c r="I31" s="246">
        <v>0.11849999999999999</v>
      </c>
      <c r="J31" s="246">
        <v>0.1055</v>
      </c>
      <c r="K31" s="246">
        <v>0.104</v>
      </c>
      <c r="L31" s="246">
        <v>0.1024</v>
      </c>
      <c r="M31" s="246">
        <v>9.8199999999999996E-2</v>
      </c>
      <c r="N31" s="246">
        <v>9.6699999999999994E-2</v>
      </c>
      <c r="O31" s="246">
        <v>9.5299999999999996E-2</v>
      </c>
      <c r="P31" s="246">
        <v>9.2999999999999999E-2</v>
      </c>
      <c r="Q31" s="246">
        <v>9.1600000000000001E-2</v>
      </c>
      <c r="R31" s="246">
        <v>9.0300000000000005E-2</v>
      </c>
      <c r="S31" s="246">
        <v>8.8999999999999996E-2</v>
      </c>
      <c r="T31" s="246">
        <v>8.77E-2</v>
      </c>
      <c r="U31" s="246">
        <v>8.6300000000000002E-2</v>
      </c>
      <c r="V31" s="246">
        <v>8.5800000000000001E-2</v>
      </c>
      <c r="W31" s="246">
        <v>8.4500000000000006E-2</v>
      </c>
      <c r="X31" s="246">
        <v>8.3299999999999999E-2</v>
      </c>
      <c r="Y31" s="246">
        <v>8.3199999999999996E-2</v>
      </c>
      <c r="Z31" s="246">
        <v>8.2000000000000003E-2</v>
      </c>
      <c r="AA31" s="247">
        <v>8.0699999999999994E-2</v>
      </c>
    </row>
    <row r="32" spans="1:27" x14ac:dyDescent="0.25">
      <c r="A32" s="227"/>
      <c r="B32" s="240">
        <v>13</v>
      </c>
      <c r="C32" s="241" t="s">
        <v>171</v>
      </c>
      <c r="D32" s="242">
        <v>0.17275974025974028</v>
      </c>
      <c r="E32" s="243">
        <v>0.17021915584415584</v>
      </c>
      <c r="F32" s="243">
        <v>0.16767857142857143</v>
      </c>
      <c r="G32" s="243">
        <v>0.12408214285714285</v>
      </c>
      <c r="H32" s="243">
        <v>0.12225292207792209</v>
      </c>
      <c r="I32" s="243">
        <v>0.12042370129870129</v>
      </c>
      <c r="J32" s="243">
        <v>0.10721266233766233</v>
      </c>
      <c r="K32" s="243">
        <v>0.10568831168831168</v>
      </c>
      <c r="L32" s="243">
        <v>0.10406233766233766</v>
      </c>
      <c r="M32" s="243">
        <v>9.9794155844155838E-2</v>
      </c>
      <c r="N32" s="243">
        <v>9.8269805194805188E-2</v>
      </c>
      <c r="O32" s="243">
        <v>9.6847077922077918E-2</v>
      </c>
      <c r="P32" s="243">
        <v>9.4509740259740252E-2</v>
      </c>
      <c r="Q32" s="243">
        <v>9.3087012987012982E-2</v>
      </c>
      <c r="R32" s="243">
        <v>9.1765909090909092E-2</v>
      </c>
      <c r="S32" s="243">
        <v>9.0444805194805189E-2</v>
      </c>
      <c r="T32" s="243">
        <v>8.9123701298701299E-2</v>
      </c>
      <c r="U32" s="243">
        <v>8.7700974025974029E-2</v>
      </c>
      <c r="V32" s="243">
        <v>8.7192857142857141E-2</v>
      </c>
      <c r="W32" s="243">
        <v>8.5871753246753252E-2</v>
      </c>
      <c r="X32" s="243">
        <v>8.4652272727272729E-2</v>
      </c>
      <c r="Y32" s="243">
        <v>8.4550649350649348E-2</v>
      </c>
      <c r="Z32" s="243">
        <v>8.3331168831168839E-2</v>
      </c>
      <c r="AA32" s="244">
        <v>8.2010064935064922E-2</v>
      </c>
    </row>
    <row r="33" spans="1:27" x14ac:dyDescent="0.25">
      <c r="A33" s="227"/>
      <c r="B33" s="240">
        <v>14</v>
      </c>
      <c r="C33" s="241" t="s">
        <v>171</v>
      </c>
      <c r="D33" s="242">
        <v>0.17574025974025978</v>
      </c>
      <c r="E33" s="243">
        <v>0.17315584415584417</v>
      </c>
      <c r="F33" s="243">
        <v>0.1705714285714286</v>
      </c>
      <c r="G33" s="243">
        <v>0.12622285714285716</v>
      </c>
      <c r="H33" s="243">
        <v>0.12436207792207794</v>
      </c>
      <c r="I33" s="243">
        <v>0.12250129870129871</v>
      </c>
      <c r="J33" s="243">
        <v>0.10906233766233767</v>
      </c>
      <c r="K33" s="243">
        <v>0.10751168831168832</v>
      </c>
      <c r="L33" s="243">
        <v>0.10585766233766235</v>
      </c>
      <c r="M33" s="243">
        <v>0.10151584415584416</v>
      </c>
      <c r="N33" s="243">
        <v>9.9965194805194807E-2</v>
      </c>
      <c r="O33" s="243">
        <v>9.8517922077922079E-2</v>
      </c>
      <c r="P33" s="243">
        <v>9.6140259740259748E-2</v>
      </c>
      <c r="Q33" s="243">
        <v>9.469298701298702E-2</v>
      </c>
      <c r="R33" s="243">
        <v>9.3349090909090923E-2</v>
      </c>
      <c r="S33" s="243">
        <v>9.2005194805194812E-2</v>
      </c>
      <c r="T33" s="243">
        <v>9.0661298701298715E-2</v>
      </c>
      <c r="U33" s="243">
        <v>8.9214025974025987E-2</v>
      </c>
      <c r="V33" s="243">
        <v>8.8697142857142863E-2</v>
      </c>
      <c r="W33" s="243">
        <v>8.7353246753246766E-2</v>
      </c>
      <c r="X33" s="243">
        <v>8.6112727272727285E-2</v>
      </c>
      <c r="Y33" s="243">
        <v>8.6009350649350655E-2</v>
      </c>
      <c r="Z33" s="243">
        <v>8.4768831168831174E-2</v>
      </c>
      <c r="AA33" s="244">
        <v>8.3424935064935063E-2</v>
      </c>
    </row>
    <row r="34" spans="1:27" x14ac:dyDescent="0.25">
      <c r="A34" s="227"/>
      <c r="B34" s="240">
        <v>15</v>
      </c>
      <c r="C34" s="241" t="s">
        <v>171</v>
      </c>
      <c r="D34" s="242">
        <v>0.17850000000000002</v>
      </c>
      <c r="E34" s="243">
        <v>0.17587500000000003</v>
      </c>
      <c r="F34" s="243">
        <v>0.17325000000000002</v>
      </c>
      <c r="G34" s="243">
        <v>0.12820500000000001</v>
      </c>
      <c r="H34" s="243">
        <v>0.12631500000000001</v>
      </c>
      <c r="I34" s="243">
        <v>0.12442499999999999</v>
      </c>
      <c r="J34" s="243">
        <v>0.110775</v>
      </c>
      <c r="K34" s="243">
        <v>0.10920000000000001</v>
      </c>
      <c r="L34" s="243">
        <v>0.10752</v>
      </c>
      <c r="M34" s="243">
        <v>0.10311000000000001</v>
      </c>
      <c r="N34" s="243">
        <v>0.101535</v>
      </c>
      <c r="O34" s="243">
        <v>0.100065</v>
      </c>
      <c r="P34" s="243">
        <v>9.7650000000000001E-2</v>
      </c>
      <c r="Q34" s="243">
        <v>9.6180000000000002E-2</v>
      </c>
      <c r="R34" s="243">
        <v>9.481500000000001E-2</v>
      </c>
      <c r="S34" s="243">
        <v>9.3450000000000005E-2</v>
      </c>
      <c r="T34" s="243">
        <v>9.2085E-2</v>
      </c>
      <c r="U34" s="243">
        <v>9.0615000000000001E-2</v>
      </c>
      <c r="V34" s="243">
        <v>9.0090000000000003E-2</v>
      </c>
      <c r="W34" s="243">
        <v>8.8725000000000012E-2</v>
      </c>
      <c r="X34" s="243">
        <v>8.7465000000000001E-2</v>
      </c>
      <c r="Y34" s="243">
        <v>8.7360000000000007E-2</v>
      </c>
      <c r="Z34" s="243">
        <v>8.610000000000001E-2</v>
      </c>
      <c r="AA34" s="244">
        <v>8.4735000000000005E-2</v>
      </c>
    </row>
    <row r="35" spans="1:27" x14ac:dyDescent="0.25">
      <c r="A35" s="227"/>
      <c r="B35" s="240">
        <v>16</v>
      </c>
      <c r="C35" s="241" t="s">
        <v>171</v>
      </c>
      <c r="D35" s="242">
        <v>0.1813701298701299</v>
      </c>
      <c r="E35" s="243">
        <v>0.1787029220779221</v>
      </c>
      <c r="F35" s="243">
        <v>0.1760357142857143</v>
      </c>
      <c r="G35" s="243">
        <v>0.13026642857142859</v>
      </c>
      <c r="H35" s="243">
        <v>0.12834603896103897</v>
      </c>
      <c r="I35" s="243">
        <v>0.12642564935064934</v>
      </c>
      <c r="J35" s="243">
        <v>0.11255616883116883</v>
      </c>
      <c r="K35" s="243">
        <v>0.11095584415584415</v>
      </c>
      <c r="L35" s="243">
        <v>0.10924883116883118</v>
      </c>
      <c r="M35" s="243">
        <v>0.10476792207792208</v>
      </c>
      <c r="N35" s="243">
        <v>0.1031675974025974</v>
      </c>
      <c r="O35" s="243">
        <v>0.10167396103896104</v>
      </c>
      <c r="P35" s="243">
        <v>9.9220129870129875E-2</v>
      </c>
      <c r="Q35" s="243">
        <v>9.7726493506493511E-2</v>
      </c>
      <c r="R35" s="243">
        <v>9.6339545454545469E-2</v>
      </c>
      <c r="S35" s="243">
        <v>9.49525974025974E-2</v>
      </c>
      <c r="T35" s="243">
        <v>9.3565649350649358E-2</v>
      </c>
      <c r="U35" s="243">
        <v>9.2072012987012994E-2</v>
      </c>
      <c r="V35" s="243">
        <v>9.1538571428571441E-2</v>
      </c>
      <c r="W35" s="243">
        <v>9.0151623376623385E-2</v>
      </c>
      <c r="X35" s="243">
        <v>8.8871363636363637E-2</v>
      </c>
      <c r="Y35" s="243">
        <v>8.876467532467533E-2</v>
      </c>
      <c r="Z35" s="243">
        <v>8.7484415584415595E-2</v>
      </c>
      <c r="AA35" s="244">
        <v>8.6097467532467525E-2</v>
      </c>
    </row>
    <row r="36" spans="1:27" x14ac:dyDescent="0.25">
      <c r="A36" s="227"/>
      <c r="B36" s="240">
        <v>17</v>
      </c>
      <c r="C36" s="241" t="s">
        <v>171</v>
      </c>
      <c r="D36" s="242">
        <v>0.18424025974025976</v>
      </c>
      <c r="E36" s="243">
        <v>0.18153084415584417</v>
      </c>
      <c r="F36" s="243">
        <v>0.17882142857142858</v>
      </c>
      <c r="G36" s="243">
        <v>0.13232785714285714</v>
      </c>
      <c r="H36" s="243">
        <v>0.13037707792207792</v>
      </c>
      <c r="I36" s="243">
        <v>0.12842629870129871</v>
      </c>
      <c r="J36" s="243">
        <v>0.11433733766233765</v>
      </c>
      <c r="K36" s="243">
        <v>0.1127116883116883</v>
      </c>
      <c r="L36" s="243">
        <v>0.11097766233766235</v>
      </c>
      <c r="M36" s="243">
        <v>0.10642584415584415</v>
      </c>
      <c r="N36" s="243">
        <v>0.1048001948051948</v>
      </c>
      <c r="O36" s="243">
        <v>0.10328292207792207</v>
      </c>
      <c r="P36" s="243">
        <v>0.10079025974025974</v>
      </c>
      <c r="Q36" s="243">
        <v>9.9272987012987021E-2</v>
      </c>
      <c r="R36" s="243">
        <v>9.7864090909090914E-2</v>
      </c>
      <c r="S36" s="243">
        <v>9.6455194805194808E-2</v>
      </c>
      <c r="T36" s="243">
        <v>9.5046298701298701E-2</v>
      </c>
      <c r="U36" s="243">
        <v>9.3529025974025973E-2</v>
      </c>
      <c r="V36" s="243">
        <v>9.2987142857142865E-2</v>
      </c>
      <c r="W36" s="243">
        <v>9.1578246753246759E-2</v>
      </c>
      <c r="X36" s="243">
        <v>9.0277727272727273E-2</v>
      </c>
      <c r="Y36" s="243">
        <v>9.0169350649350652E-2</v>
      </c>
      <c r="Z36" s="243">
        <v>8.8868831168831181E-2</v>
      </c>
      <c r="AA36" s="244">
        <v>8.745993506493506E-2</v>
      </c>
    </row>
    <row r="37" spans="1:27" x14ac:dyDescent="0.25">
      <c r="A37" s="227"/>
      <c r="B37" s="240">
        <v>18</v>
      </c>
      <c r="C37" s="241" t="s">
        <v>171</v>
      </c>
      <c r="D37" s="242">
        <v>0.18700000000000003</v>
      </c>
      <c r="E37" s="243">
        <v>0.18425000000000002</v>
      </c>
      <c r="F37" s="243">
        <v>0.18150000000000002</v>
      </c>
      <c r="G37" s="243">
        <v>0.13431000000000001</v>
      </c>
      <c r="H37" s="243">
        <v>0.13233</v>
      </c>
      <c r="I37" s="243">
        <v>0.13034999999999999</v>
      </c>
      <c r="J37" s="243">
        <v>0.11605</v>
      </c>
      <c r="K37" s="243">
        <v>0.1144</v>
      </c>
      <c r="L37" s="243">
        <v>0.11264</v>
      </c>
      <c r="M37" s="243">
        <v>0.10802</v>
      </c>
      <c r="N37" s="243">
        <v>0.10636999999999999</v>
      </c>
      <c r="O37" s="243">
        <v>0.10482999999999999</v>
      </c>
      <c r="P37" s="243">
        <v>0.1023</v>
      </c>
      <c r="Q37" s="243">
        <v>0.10076</v>
      </c>
      <c r="R37" s="243">
        <v>9.9330000000000016E-2</v>
      </c>
      <c r="S37" s="243">
        <v>9.7900000000000001E-2</v>
      </c>
      <c r="T37" s="243">
        <v>9.647E-2</v>
      </c>
      <c r="U37" s="243">
        <v>9.493E-2</v>
      </c>
      <c r="V37" s="243">
        <v>9.4380000000000006E-2</v>
      </c>
      <c r="W37" s="243">
        <v>9.2950000000000005E-2</v>
      </c>
      <c r="X37" s="243">
        <v>9.1630000000000003E-2</v>
      </c>
      <c r="Y37" s="243">
        <v>9.1520000000000004E-2</v>
      </c>
      <c r="Z37" s="243">
        <v>9.0200000000000002E-2</v>
      </c>
      <c r="AA37" s="244">
        <v>8.8770000000000002E-2</v>
      </c>
    </row>
    <row r="38" spans="1:27" x14ac:dyDescent="0.25">
      <c r="A38" s="227"/>
      <c r="B38" s="240">
        <v>19</v>
      </c>
      <c r="C38" s="241" t="s">
        <v>171</v>
      </c>
      <c r="D38" s="242">
        <v>0.18975974025974027</v>
      </c>
      <c r="E38" s="243">
        <v>0.18696915584415585</v>
      </c>
      <c r="F38" s="243">
        <v>0.18417857142857144</v>
      </c>
      <c r="G38" s="243">
        <v>0.13629214285714286</v>
      </c>
      <c r="H38" s="243">
        <v>0.13428292207792208</v>
      </c>
      <c r="I38" s="243">
        <v>0.13227370129870128</v>
      </c>
      <c r="J38" s="243">
        <v>0.11776266233766233</v>
      </c>
      <c r="K38" s="243">
        <v>0.11608831168831169</v>
      </c>
      <c r="L38" s="243">
        <v>0.11430233766233767</v>
      </c>
      <c r="M38" s="243">
        <v>0.10961415584415583</v>
      </c>
      <c r="N38" s="243">
        <v>0.10793980519480519</v>
      </c>
      <c r="O38" s="243">
        <v>0.10637707792207791</v>
      </c>
      <c r="P38" s="243">
        <v>0.10380974025974025</v>
      </c>
      <c r="Q38" s="243">
        <v>0.10224701298701298</v>
      </c>
      <c r="R38" s="243">
        <v>0.1007959090909091</v>
      </c>
      <c r="S38" s="243">
        <v>9.9344805194805194E-2</v>
      </c>
      <c r="T38" s="243">
        <v>9.7893701298701299E-2</v>
      </c>
      <c r="U38" s="243">
        <v>9.6330974025974028E-2</v>
      </c>
      <c r="V38" s="243">
        <v>9.5772857142857146E-2</v>
      </c>
      <c r="W38" s="243">
        <v>9.4321753246753251E-2</v>
      </c>
      <c r="X38" s="243">
        <v>9.2982272727272733E-2</v>
      </c>
      <c r="Y38" s="243">
        <v>9.2870649350649342E-2</v>
      </c>
      <c r="Z38" s="243">
        <v>9.1531168831168838E-2</v>
      </c>
      <c r="AA38" s="244">
        <v>9.008006493506493E-2</v>
      </c>
    </row>
    <row r="39" spans="1:27" x14ac:dyDescent="0.25">
      <c r="A39" s="227"/>
      <c r="B39" s="240">
        <v>20</v>
      </c>
      <c r="C39" s="241" t="s">
        <v>171</v>
      </c>
      <c r="D39" s="242">
        <v>0.19274025974025977</v>
      </c>
      <c r="E39" s="243">
        <v>0.18990584415584416</v>
      </c>
      <c r="F39" s="243">
        <v>0.18707142857142858</v>
      </c>
      <c r="G39" s="243">
        <v>0.13843285714285714</v>
      </c>
      <c r="H39" s="243">
        <v>0.13639207792207794</v>
      </c>
      <c r="I39" s="243">
        <v>0.13435129870129869</v>
      </c>
      <c r="J39" s="243">
        <v>0.11961233766233766</v>
      </c>
      <c r="K39" s="243">
        <v>0.11791168831168831</v>
      </c>
      <c r="L39" s="243">
        <v>0.11609766233766235</v>
      </c>
      <c r="M39" s="243">
        <v>0.11133584415584416</v>
      </c>
      <c r="N39" s="243">
        <v>0.1096351948051948</v>
      </c>
      <c r="O39" s="243">
        <v>0.10804792207792208</v>
      </c>
      <c r="P39" s="243">
        <v>0.10544025974025974</v>
      </c>
      <c r="Q39" s="243">
        <v>0.10385298701298702</v>
      </c>
      <c r="R39" s="243">
        <v>0.10237909090909092</v>
      </c>
      <c r="S39" s="243">
        <v>0.1009051948051948</v>
      </c>
      <c r="T39" s="243">
        <v>9.9431298701298701E-2</v>
      </c>
      <c r="U39" s="243">
        <v>9.7844025974025972E-2</v>
      </c>
      <c r="V39" s="243">
        <v>9.7277142857142868E-2</v>
      </c>
      <c r="W39" s="243">
        <v>9.5803246753246765E-2</v>
      </c>
      <c r="X39" s="243">
        <v>9.4442727272727275E-2</v>
      </c>
      <c r="Y39" s="243">
        <v>9.4329350649350649E-2</v>
      </c>
      <c r="Z39" s="243">
        <v>9.2968831168831173E-2</v>
      </c>
      <c r="AA39" s="244">
        <v>9.1494935064935057E-2</v>
      </c>
    </row>
    <row r="40" spans="1:27" x14ac:dyDescent="0.25">
      <c r="A40" s="227"/>
      <c r="B40" s="240">
        <v>21</v>
      </c>
      <c r="C40" s="241" t="s">
        <v>171</v>
      </c>
      <c r="D40" s="242">
        <v>0.19550000000000001</v>
      </c>
      <c r="E40" s="243">
        <v>0.19262500000000002</v>
      </c>
      <c r="F40" s="243">
        <v>0.18975</v>
      </c>
      <c r="G40" s="243">
        <v>0.14041500000000001</v>
      </c>
      <c r="H40" s="243">
        <v>0.138345</v>
      </c>
      <c r="I40" s="243">
        <v>0.13627500000000001</v>
      </c>
      <c r="J40" s="243">
        <v>0.121325</v>
      </c>
      <c r="K40" s="243">
        <v>0.1196</v>
      </c>
      <c r="L40" s="243">
        <v>0.11776</v>
      </c>
      <c r="M40" s="243">
        <v>0.11293</v>
      </c>
      <c r="N40" s="243">
        <v>0.111205</v>
      </c>
      <c r="O40" s="243">
        <v>0.109595</v>
      </c>
      <c r="P40" s="243">
        <v>0.10695</v>
      </c>
      <c r="Q40" s="243">
        <v>0.10534</v>
      </c>
      <c r="R40" s="243">
        <v>0.10384500000000001</v>
      </c>
      <c r="S40" s="243">
        <v>0.10235</v>
      </c>
      <c r="T40" s="243">
        <v>0.100855</v>
      </c>
      <c r="U40" s="243">
        <v>9.9245E-2</v>
      </c>
      <c r="V40" s="243">
        <v>9.8670000000000008E-2</v>
      </c>
      <c r="W40" s="243">
        <v>9.7175000000000011E-2</v>
      </c>
      <c r="X40" s="243">
        <v>9.5795000000000005E-2</v>
      </c>
      <c r="Y40" s="243">
        <v>9.5680000000000001E-2</v>
      </c>
      <c r="Z40" s="243">
        <v>9.4300000000000009E-2</v>
      </c>
      <c r="AA40" s="244">
        <v>9.2804999999999999E-2</v>
      </c>
    </row>
    <row r="41" spans="1:27" x14ac:dyDescent="0.25">
      <c r="A41" s="227"/>
      <c r="B41" s="240">
        <v>22</v>
      </c>
      <c r="C41" s="241" t="s">
        <v>171</v>
      </c>
      <c r="D41" s="242">
        <v>0.19825974025974027</v>
      </c>
      <c r="E41" s="243">
        <v>0.19534415584415585</v>
      </c>
      <c r="F41" s="243">
        <v>0.19242857142857145</v>
      </c>
      <c r="G41" s="243">
        <v>0.14239714285714286</v>
      </c>
      <c r="H41" s="243">
        <v>0.14029792207792208</v>
      </c>
      <c r="I41" s="243">
        <v>0.13819870129870129</v>
      </c>
      <c r="J41" s="243">
        <v>0.12303766233766233</v>
      </c>
      <c r="K41" s="243">
        <v>0.12128831168831168</v>
      </c>
      <c r="L41" s="243">
        <v>0.11942233766233767</v>
      </c>
      <c r="M41" s="243">
        <v>0.11452415584415584</v>
      </c>
      <c r="N41" s="243">
        <v>0.11277480519480519</v>
      </c>
      <c r="O41" s="243">
        <v>0.11114207792207792</v>
      </c>
      <c r="P41" s="243">
        <v>0.10845974025974026</v>
      </c>
      <c r="Q41" s="243">
        <v>0.10682701298701298</v>
      </c>
      <c r="R41" s="243">
        <v>0.10531090909090909</v>
      </c>
      <c r="S41" s="243">
        <v>0.10379480519480519</v>
      </c>
      <c r="T41" s="243">
        <v>0.1022787012987013</v>
      </c>
      <c r="U41" s="243">
        <v>0.10064597402597403</v>
      </c>
      <c r="V41" s="243">
        <v>0.10006285714285715</v>
      </c>
      <c r="W41" s="243">
        <v>9.8546753246753258E-2</v>
      </c>
      <c r="X41" s="243">
        <v>9.7147272727272735E-2</v>
      </c>
      <c r="Y41" s="243">
        <v>9.7030649350649353E-2</v>
      </c>
      <c r="Z41" s="243">
        <v>9.5631168831168831E-2</v>
      </c>
      <c r="AA41" s="244">
        <v>9.4115064935064927E-2</v>
      </c>
    </row>
    <row r="42" spans="1:27" x14ac:dyDescent="0.25">
      <c r="A42" s="227"/>
      <c r="B42" s="240">
        <v>23</v>
      </c>
      <c r="C42" s="241" t="s">
        <v>171</v>
      </c>
      <c r="D42" s="242">
        <v>0.20124025974025975</v>
      </c>
      <c r="E42" s="243">
        <v>0.19828084415584415</v>
      </c>
      <c r="F42" s="243">
        <v>0.19532142857142856</v>
      </c>
      <c r="G42" s="243">
        <v>0.14453785714285713</v>
      </c>
      <c r="H42" s="243">
        <v>0.14240707792207791</v>
      </c>
      <c r="I42" s="243">
        <v>0.14027629870129868</v>
      </c>
      <c r="J42" s="243">
        <v>0.12488733766233764</v>
      </c>
      <c r="K42" s="243">
        <v>0.1231116883116883</v>
      </c>
      <c r="L42" s="243">
        <v>0.12121766233766233</v>
      </c>
      <c r="M42" s="243">
        <v>0.11624584415584414</v>
      </c>
      <c r="N42" s="243">
        <v>0.11447019480519478</v>
      </c>
      <c r="O42" s="243">
        <v>0.11281292207792207</v>
      </c>
      <c r="P42" s="243">
        <v>0.11009025974025972</v>
      </c>
      <c r="Q42" s="243">
        <v>0.10843298701298701</v>
      </c>
      <c r="R42" s="243">
        <v>0.10689409090909091</v>
      </c>
      <c r="S42" s="243">
        <v>0.10535519480519479</v>
      </c>
      <c r="T42" s="243">
        <v>0.10381629870129869</v>
      </c>
      <c r="U42" s="243">
        <v>0.10215902597402597</v>
      </c>
      <c r="V42" s="243">
        <v>0.10156714285714286</v>
      </c>
      <c r="W42" s="243">
        <v>0.10002824675324676</v>
      </c>
      <c r="X42" s="243">
        <v>9.8607727272727264E-2</v>
      </c>
      <c r="Y42" s="243">
        <v>9.8489350649350632E-2</v>
      </c>
      <c r="Z42" s="243">
        <v>9.7068831168831166E-2</v>
      </c>
      <c r="AA42" s="244">
        <v>9.5529935064935054E-2</v>
      </c>
    </row>
    <row r="43" spans="1:27" ht="15.75" thickBot="1" x14ac:dyDescent="0.3">
      <c r="A43" s="227"/>
      <c r="B43" s="248">
        <v>24</v>
      </c>
      <c r="C43" s="249" t="s">
        <v>172</v>
      </c>
      <c r="D43" s="250">
        <v>0.20400000000000001</v>
      </c>
      <c r="E43" s="251">
        <v>0.20100000000000001</v>
      </c>
      <c r="F43" s="251">
        <v>0.19800000000000001</v>
      </c>
      <c r="G43" s="251">
        <v>0.14651999999999998</v>
      </c>
      <c r="H43" s="251">
        <v>0.14435999999999999</v>
      </c>
      <c r="I43" s="251">
        <v>0.14219999999999999</v>
      </c>
      <c r="J43" s="251">
        <v>0.12659999999999999</v>
      </c>
      <c r="K43" s="251">
        <v>0.12479999999999999</v>
      </c>
      <c r="L43" s="251">
        <v>0.12288</v>
      </c>
      <c r="M43" s="251">
        <v>0.11783999999999999</v>
      </c>
      <c r="N43" s="251">
        <v>0.11603999999999999</v>
      </c>
      <c r="O43" s="251">
        <v>0.11435999999999999</v>
      </c>
      <c r="P43" s="251">
        <v>0.11159999999999999</v>
      </c>
      <c r="Q43" s="251">
        <v>0.10991999999999999</v>
      </c>
      <c r="R43" s="251">
        <v>0.10836</v>
      </c>
      <c r="S43" s="251">
        <v>0.10679999999999999</v>
      </c>
      <c r="T43" s="251">
        <v>0.10524</v>
      </c>
      <c r="U43" s="251">
        <v>0.10356</v>
      </c>
      <c r="V43" s="251">
        <v>0.10296</v>
      </c>
      <c r="W43" s="251">
        <v>0.1014</v>
      </c>
      <c r="X43" s="251">
        <v>9.9959999999999993E-2</v>
      </c>
      <c r="Y43" s="251">
        <v>9.9839999999999984E-2</v>
      </c>
      <c r="Z43" s="251">
        <v>9.8400000000000001E-2</v>
      </c>
      <c r="AA43" s="252">
        <v>9.6839999999999982E-2</v>
      </c>
    </row>
    <row r="44" spans="1:27" ht="15.75" thickTop="1" x14ac:dyDescent="0.25">
      <c r="B44" s="253">
        <v>25</v>
      </c>
    </row>
    <row r="45" spans="1:27" x14ac:dyDescent="0.25">
      <c r="N45" s="27" t="s">
        <v>184</v>
      </c>
    </row>
    <row r="46" spans="1:27" ht="15.75" customHeight="1" x14ac:dyDescent="0.25">
      <c r="B46" s="27" t="s">
        <v>21</v>
      </c>
      <c r="D46" t="s">
        <v>173</v>
      </c>
      <c r="I46" s="193">
        <f>'Hobin Classic 2025'!C27</f>
        <v>5368.18</v>
      </c>
      <c r="J46" s="254" t="s">
        <v>188</v>
      </c>
      <c r="N46" s="255">
        <v>1</v>
      </c>
      <c r="O46" s="256" t="s">
        <v>157</v>
      </c>
      <c r="P46" s="257"/>
      <c r="Q46" s="257"/>
      <c r="R46" s="258"/>
    </row>
    <row r="47" spans="1:27" x14ac:dyDescent="0.25">
      <c r="D47" s="5" t="s">
        <v>82</v>
      </c>
      <c r="I47" s="259">
        <f>IF($I$46&gt;8000,5,IF(AND($I$46&lt;=8000,$I$46&gt;=6001),4,IF(AND($I$46&lt;=6000,$I$46&gt;=4001),3,IF(AND($I$46&lt;=4000,$I$46&gt;=2001),2,1))))</f>
        <v>3</v>
      </c>
      <c r="J47" s="254" t="s">
        <v>185</v>
      </c>
      <c r="N47" s="260">
        <v>2</v>
      </c>
      <c r="O47" s="261" t="s">
        <v>177</v>
      </c>
      <c r="P47" s="262"/>
      <c r="Q47" s="262"/>
      <c r="R47" s="263"/>
    </row>
    <row r="48" spans="1:27" ht="15.75" customHeight="1" x14ac:dyDescent="0.25">
      <c r="D48" t="s">
        <v>2</v>
      </c>
      <c r="I48" s="16">
        <f>'Hobin Classic 2025'!$C$6</f>
        <v>2</v>
      </c>
      <c r="J48" s="264" t="s">
        <v>189</v>
      </c>
      <c r="N48" s="260">
        <v>3</v>
      </c>
      <c r="O48" s="261" t="s">
        <v>178</v>
      </c>
      <c r="P48" s="262"/>
      <c r="Q48" s="262"/>
      <c r="R48" s="263"/>
    </row>
    <row r="49" spans="4:18" ht="15.75" customHeight="1" x14ac:dyDescent="0.25">
      <c r="D49" s="265" t="s">
        <v>180</v>
      </c>
      <c r="I49" s="226" cm="1">
        <f t="array" ref="I49">_xlfn.XLOOKUP(I47,R6:V6,_xlfn.XLOOKUP(I48,Q7:Q14,R7:V14,""))</f>
        <v>4</v>
      </c>
      <c r="J49" s="266" t="s">
        <v>187</v>
      </c>
      <c r="N49" s="260">
        <v>4</v>
      </c>
      <c r="O49" s="261" t="s">
        <v>179</v>
      </c>
      <c r="P49" s="262"/>
      <c r="Q49" s="262"/>
      <c r="R49" s="263"/>
    </row>
    <row r="50" spans="4:18" x14ac:dyDescent="0.25">
      <c r="N50" s="267">
        <v>5</v>
      </c>
      <c r="O50" s="268" t="s">
        <v>176</v>
      </c>
      <c r="P50" s="269"/>
      <c r="Q50" s="269"/>
      <c r="R50" s="270"/>
    </row>
    <row r="51" spans="4:18" x14ac:dyDescent="0.25">
      <c r="N51" s="271"/>
    </row>
    <row r="52" spans="4:18" x14ac:dyDescent="0.25">
      <c r="N52" s="287"/>
      <c r="O52" s="271"/>
    </row>
    <row r="53" spans="4:18" x14ac:dyDescent="0.25">
      <c r="D53" t="s">
        <v>175</v>
      </c>
      <c r="I53" s="272">
        <v>1</v>
      </c>
      <c r="J53" s="202">
        <f>IF('Input parameters'!C5&lt;&gt;"",'Input parameters'!C5,25)</f>
        <v>18</v>
      </c>
      <c r="K53" s="273" cm="1">
        <f t="array" ref="K53">_xlfn.XLOOKUP($I$49,$D$16:$AA$16,_xlfn.XLOOKUP($J53,$B$19:$B$44,$D$19:$AA$44,""))</f>
        <v>0.13431000000000001</v>
      </c>
      <c r="L53" s="193">
        <f>$I$46*K53</f>
        <v>721.0002558000001</v>
      </c>
      <c r="N53" s="288"/>
      <c r="O53" s="289"/>
    </row>
    <row r="54" spans="4:18" x14ac:dyDescent="0.25">
      <c r="I54" s="272">
        <v>2</v>
      </c>
      <c r="J54" s="202">
        <f>IF('Input parameters'!C6&lt;&gt;"",'Input parameters'!C6,25)</f>
        <v>15</v>
      </c>
      <c r="K54" s="273" cm="1">
        <f t="array" ref="K54">_xlfn.XLOOKUP($I$49,$D$16:$AA$16,_xlfn.XLOOKUP($J54,$B$19:$B$44,$D$19:$AA$44,""))</f>
        <v>0.12820500000000001</v>
      </c>
      <c r="L54" s="193">
        <f t="shared" ref="L54:L60" si="5">$I$46*K54</f>
        <v>688.22751690000007</v>
      </c>
      <c r="N54" s="288"/>
      <c r="O54" s="289"/>
    </row>
    <row r="55" spans="4:18" x14ac:dyDescent="0.25">
      <c r="I55" s="272">
        <v>3</v>
      </c>
      <c r="J55" s="202">
        <f>IF('Input parameters'!C7&lt;&gt;"",'Input parameters'!C7,25)</f>
        <v>25</v>
      </c>
      <c r="K55" s="273" cm="1">
        <f t="array" ref="K55">_xlfn.XLOOKUP($I$49,$D$16:$AA$16,_xlfn.XLOOKUP($J55,$B$19:$B$44,$D$19:$AA$44,""))</f>
        <v>0</v>
      </c>
      <c r="L55" s="193">
        <f t="shared" si="5"/>
        <v>0</v>
      </c>
      <c r="N55" s="288"/>
      <c r="O55" s="289"/>
    </row>
    <row r="56" spans="4:18" x14ac:dyDescent="0.25">
      <c r="I56" s="272">
        <v>4</v>
      </c>
      <c r="J56" s="202">
        <f>IF('Input parameters'!C8&lt;&gt;"",'Input parameters'!C8,25)</f>
        <v>25</v>
      </c>
      <c r="K56" s="273" cm="1">
        <f t="array" ref="K56">_xlfn.XLOOKUP($I$49,$D$16:$AA$16,_xlfn.XLOOKUP($J56,$B$19:$B$44,$D$19:$AA$44,""))</f>
        <v>0</v>
      </c>
      <c r="L56" s="193">
        <f t="shared" si="5"/>
        <v>0</v>
      </c>
      <c r="N56" s="288"/>
      <c r="O56" s="289"/>
    </row>
    <row r="57" spans="4:18" x14ac:dyDescent="0.25">
      <c r="I57" s="272">
        <v>5</v>
      </c>
      <c r="J57" s="202">
        <f>IF('Input parameters'!D5&lt;&gt;"",'Input parameters'!D5,25)</f>
        <v>25</v>
      </c>
      <c r="K57" s="273" cm="1">
        <f t="array" ref="K57">_xlfn.XLOOKUP($I$49,$D$16:$AA$16,_xlfn.XLOOKUP($J57,$B$19:$B$44,$D$19:$AA$44,""))</f>
        <v>0</v>
      </c>
      <c r="L57" s="193">
        <f t="shared" si="5"/>
        <v>0</v>
      </c>
      <c r="N57" s="288"/>
      <c r="O57" s="289"/>
    </row>
    <row r="58" spans="4:18" x14ac:dyDescent="0.25">
      <c r="I58" s="272">
        <v>6</v>
      </c>
      <c r="J58" s="202">
        <f>IF('Input parameters'!D6&lt;&gt;"",'Input parameters'!D6,25)</f>
        <v>25</v>
      </c>
      <c r="K58" s="273" cm="1">
        <f t="array" ref="K58">_xlfn.XLOOKUP($I$49,$D$16:$AA$16,_xlfn.XLOOKUP($J58,$B$19:$B$44,$D$19:$AA$44,""))</f>
        <v>0</v>
      </c>
      <c r="L58" s="193">
        <f t="shared" si="5"/>
        <v>0</v>
      </c>
      <c r="N58" s="288"/>
      <c r="O58" s="289"/>
    </row>
    <row r="59" spans="4:18" x14ac:dyDescent="0.25">
      <c r="I59" s="272">
        <v>7</v>
      </c>
      <c r="J59" s="202">
        <f>IF('Input parameters'!D7&lt;&gt;"",'Input parameters'!D7,25)</f>
        <v>25</v>
      </c>
      <c r="K59" s="273" cm="1">
        <f t="array" ref="K59">_xlfn.XLOOKUP($I$49,$D$16:$AA$16,_xlfn.XLOOKUP($J59,$B$19:$B$44,$D$19:$AA$44,""))</f>
        <v>0</v>
      </c>
      <c r="L59" s="193">
        <f t="shared" si="5"/>
        <v>0</v>
      </c>
      <c r="N59" s="288"/>
      <c r="O59" s="289"/>
    </row>
    <row r="60" spans="4:18" x14ac:dyDescent="0.25">
      <c r="I60" s="274">
        <v>8</v>
      </c>
      <c r="J60" s="205">
        <f>IF('Input parameters'!D8&lt;&gt;"",'Input parameters'!D8,25)</f>
        <v>25</v>
      </c>
      <c r="K60" s="275" cm="1">
        <f t="array" ref="K60">_xlfn.XLOOKUP($I$49,$D$16:$AA$16,_xlfn.XLOOKUP($J60,$B$19:$B$44,$D$19:$AA$44,""))</f>
        <v>0</v>
      </c>
      <c r="L60" s="197">
        <f t="shared" si="5"/>
        <v>0</v>
      </c>
      <c r="N60" s="288"/>
      <c r="O60" s="289"/>
    </row>
    <row r="61" spans="4:18" x14ac:dyDescent="0.25">
      <c r="K61" s="196">
        <f>SUM(K53:K60)</f>
        <v>0.26251500000000005</v>
      </c>
      <c r="L61" s="193">
        <f>SUM(L53:L60)</f>
        <v>1409.2277727000001</v>
      </c>
      <c r="N61" s="288"/>
      <c r="O61" s="290"/>
    </row>
  </sheetData>
  <sheetProtection algorithmName="SHA-512" hashValue="XKmODrcXFi1KHDKEOSZ9KhHhFljgHUl9ooEayaz06XUHPfGPoir/lvaGLOTKEw8UTxqf+Ikw4agOiJMv9NF19Q==" saltValue="Gw5e2DSL0dR7nTiMphqubg==" spinCount="100000" sheet="1" selectLockedCells="1" selectUnlockedCells="1"/>
  <mergeCells count="57">
    <mergeCell ref="N6:O6"/>
    <mergeCell ref="B1:D1"/>
    <mergeCell ref="C4:E5"/>
    <mergeCell ref="F4:O5"/>
    <mergeCell ref="C6:E6"/>
    <mergeCell ref="F6:G6"/>
    <mergeCell ref="H6:I6"/>
    <mergeCell ref="J6:K6"/>
    <mergeCell ref="L6:M6"/>
    <mergeCell ref="N8:O8"/>
    <mergeCell ref="C7:E7"/>
    <mergeCell ref="F7:G7"/>
    <mergeCell ref="H7:I7"/>
    <mergeCell ref="J7:K7"/>
    <mergeCell ref="L7:M7"/>
    <mergeCell ref="N7:O7"/>
    <mergeCell ref="C8:E8"/>
    <mergeCell ref="F8:G8"/>
    <mergeCell ref="H8:I8"/>
    <mergeCell ref="J8:K8"/>
    <mergeCell ref="L8:M8"/>
    <mergeCell ref="N9:O9"/>
    <mergeCell ref="C9:E9"/>
    <mergeCell ref="F9:G9"/>
    <mergeCell ref="H9:I9"/>
    <mergeCell ref="J9:K9"/>
    <mergeCell ref="L9:M9"/>
    <mergeCell ref="N11:O11"/>
    <mergeCell ref="C10:E10"/>
    <mergeCell ref="F10:G10"/>
    <mergeCell ref="H10:I10"/>
    <mergeCell ref="J10:K10"/>
    <mergeCell ref="L10:M10"/>
    <mergeCell ref="N10:O10"/>
    <mergeCell ref="C11:E11"/>
    <mergeCell ref="F11:G11"/>
    <mergeCell ref="H11:I11"/>
    <mergeCell ref="J11:K11"/>
    <mergeCell ref="L11:M11"/>
    <mergeCell ref="N12:O12"/>
    <mergeCell ref="C12:E12"/>
    <mergeCell ref="F12:G12"/>
    <mergeCell ref="H12:I12"/>
    <mergeCell ref="J12:K12"/>
    <mergeCell ref="L12:M12"/>
    <mergeCell ref="N14:O14"/>
    <mergeCell ref="C13:E13"/>
    <mergeCell ref="F13:G13"/>
    <mergeCell ref="H13:I13"/>
    <mergeCell ref="J13:K13"/>
    <mergeCell ref="L13:M13"/>
    <mergeCell ref="N13:O13"/>
    <mergeCell ref="C14:E14"/>
    <mergeCell ref="F14:G14"/>
    <mergeCell ref="H14:I14"/>
    <mergeCell ref="J14:K14"/>
    <mergeCell ref="L14:M14"/>
  </mergeCells>
  <conditionalFormatting sqref="D19:AA4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7:O1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>
    <pageSetUpPr fitToPage="1"/>
  </sheetPr>
  <dimension ref="B1:R43"/>
  <sheetViews>
    <sheetView workbookViewId="0"/>
  </sheetViews>
  <sheetFormatPr defaultColWidth="8.85546875" defaultRowHeight="15" x14ac:dyDescent="0.25"/>
  <cols>
    <col min="2" max="2" width="41.42578125" bestFit="1" customWidth="1"/>
    <col min="3" max="3" width="9.42578125" bestFit="1" customWidth="1"/>
    <col min="5" max="5" width="34.42578125" customWidth="1"/>
    <col min="6" max="7" width="9.42578125" bestFit="1" customWidth="1"/>
    <col min="10" max="10" width="20.7109375" customWidth="1"/>
    <col min="11" max="11" width="9.42578125" bestFit="1" customWidth="1"/>
    <col min="15" max="15" width="36.28515625" bestFit="1" customWidth="1"/>
    <col min="16" max="16" width="11" customWidth="1"/>
  </cols>
  <sheetData>
    <row r="1" spans="2:16" ht="15.75" thickBot="1" x14ac:dyDescent="0.3"/>
    <row r="2" spans="2:16" x14ac:dyDescent="0.25">
      <c r="B2" s="19" t="s">
        <v>37</v>
      </c>
      <c r="C2" s="20"/>
    </row>
    <row r="3" spans="2:16" x14ac:dyDescent="0.25">
      <c r="B3" s="21" t="s">
        <v>38</v>
      </c>
      <c r="C3" s="22"/>
    </row>
    <row r="4" spans="2:16" x14ac:dyDescent="0.25">
      <c r="B4" s="21" t="s">
        <v>39</v>
      </c>
      <c r="C4" s="22"/>
    </row>
    <row r="5" spans="2:16" ht="15.75" thickBot="1" x14ac:dyDescent="0.3">
      <c r="B5" s="23" t="s">
        <v>40</v>
      </c>
      <c r="C5" s="24"/>
    </row>
    <row r="6" spans="2:16" ht="15.75" thickBot="1" x14ac:dyDescent="0.3"/>
    <row r="7" spans="2:16" x14ac:dyDescent="0.25">
      <c r="B7" s="25" t="s">
        <v>41</v>
      </c>
      <c r="C7" s="26"/>
      <c r="D7" s="27"/>
      <c r="E7" s="10" t="s">
        <v>42</v>
      </c>
      <c r="F7" s="28"/>
      <c r="G7" s="28"/>
      <c r="H7" s="11"/>
      <c r="J7" s="10" t="s">
        <v>43</v>
      </c>
      <c r="K7" s="28"/>
      <c r="L7" s="28"/>
      <c r="M7" s="18"/>
      <c r="O7" s="10" t="s">
        <v>44</v>
      </c>
      <c r="P7" s="18"/>
    </row>
    <row r="8" spans="2:16" ht="15.75" thickBot="1" x14ac:dyDescent="0.3">
      <c r="B8" s="29" t="s">
        <v>45</v>
      </c>
      <c r="C8" s="30"/>
      <c r="E8" s="3"/>
      <c r="F8" s="7"/>
      <c r="G8" s="7"/>
      <c r="H8" s="17"/>
      <c r="J8" s="3"/>
      <c r="K8" s="7"/>
      <c r="L8" s="7"/>
      <c r="M8" s="17"/>
      <c r="O8" s="3"/>
      <c r="P8" s="17"/>
    </row>
    <row r="9" spans="2:16" x14ac:dyDescent="0.25">
      <c r="B9" s="9"/>
      <c r="C9" s="2"/>
      <c r="E9" s="1"/>
      <c r="H9" s="2"/>
      <c r="J9" s="1"/>
      <c r="M9" s="2"/>
      <c r="O9" s="1"/>
      <c r="P9" s="2"/>
    </row>
    <row r="10" spans="2:16" x14ac:dyDescent="0.25">
      <c r="B10" s="31" t="s">
        <v>46</v>
      </c>
      <c r="C10" s="2"/>
      <c r="E10" s="1" t="s">
        <v>22</v>
      </c>
      <c r="F10" s="4" t="e">
        <f>C17</f>
        <v>#REF!</v>
      </c>
      <c r="G10" s="4"/>
      <c r="H10" s="2"/>
      <c r="J10" s="1" t="s">
        <v>22</v>
      </c>
      <c r="K10" s="4" t="e">
        <f>C18</f>
        <v>#REF!</v>
      </c>
      <c r="M10" s="2"/>
      <c r="O10" s="1" t="s">
        <v>47</v>
      </c>
      <c r="P10" s="2"/>
    </row>
    <row r="11" spans="2:16" x14ac:dyDescent="0.25">
      <c r="B11" s="1" t="s">
        <v>11</v>
      </c>
      <c r="C11" s="32" t="e">
        <f>#REF!</f>
        <v>#REF!</v>
      </c>
      <c r="E11" s="1" t="s">
        <v>23</v>
      </c>
      <c r="F11" s="4"/>
      <c r="G11" s="4" t="e">
        <f>F10-C14</f>
        <v>#REF!</v>
      </c>
      <c r="H11" s="2"/>
      <c r="J11" s="1" t="s">
        <v>48</v>
      </c>
      <c r="K11" s="4" t="e">
        <f>K10</f>
        <v>#REF!</v>
      </c>
      <c r="M11" s="2"/>
      <c r="O11" s="1" t="s">
        <v>49</v>
      </c>
      <c r="P11" s="13" t="e">
        <f>F15</f>
        <v>#REF!</v>
      </c>
    </row>
    <row r="12" spans="2:16" x14ac:dyDescent="0.25">
      <c r="B12" s="1" t="s">
        <v>12</v>
      </c>
      <c r="C12" s="32" t="e">
        <f>#REF!</f>
        <v>#REF!</v>
      </c>
      <c r="E12" s="1" t="s">
        <v>27</v>
      </c>
      <c r="F12" s="4"/>
      <c r="G12" s="4" t="e">
        <f>H12*G11</f>
        <v>#REF!</v>
      </c>
      <c r="H12" s="33" t="e">
        <f>C11</f>
        <v>#REF!</v>
      </c>
      <c r="J12" s="1" t="s">
        <v>28</v>
      </c>
      <c r="K12" s="6" t="e">
        <f>K10*L12</f>
        <v>#REF!</v>
      </c>
      <c r="L12" s="5" t="e">
        <f>H12</f>
        <v>#REF!</v>
      </c>
      <c r="M12" s="2"/>
      <c r="O12" s="1" t="s">
        <v>50</v>
      </c>
      <c r="P12" s="13" t="e">
        <f>F20</f>
        <v>#REF!</v>
      </c>
    </row>
    <row r="13" spans="2:16" x14ac:dyDescent="0.25">
      <c r="B13" s="1"/>
      <c r="C13" s="2"/>
      <c r="E13" s="1" t="s">
        <v>25</v>
      </c>
      <c r="F13" s="4"/>
      <c r="G13" s="4" t="e">
        <f>H13*G11</f>
        <v>#REF!</v>
      </c>
      <c r="H13" s="33" t="e">
        <f>C12</f>
        <v>#REF!</v>
      </c>
      <c r="J13" s="1" t="s">
        <v>51</v>
      </c>
      <c r="K13" s="6" t="e">
        <f>K10*L13</f>
        <v>#REF!</v>
      </c>
      <c r="L13" s="5" t="e">
        <f>H13</f>
        <v>#REF!</v>
      </c>
      <c r="M13" s="2"/>
      <c r="O13" s="1" t="s">
        <v>52</v>
      </c>
      <c r="P13" s="13" t="e">
        <f>K12</f>
        <v>#REF!</v>
      </c>
    </row>
    <row r="14" spans="2:16" ht="15.75" thickBot="1" x14ac:dyDescent="0.3">
      <c r="B14" s="31" t="s">
        <v>53</v>
      </c>
      <c r="C14" s="34" t="e">
        <f>#REF!</f>
        <v>#REF!</v>
      </c>
      <c r="E14" s="1"/>
      <c r="F14" s="4"/>
      <c r="G14" s="4"/>
      <c r="H14" s="2"/>
      <c r="J14" s="1"/>
      <c r="M14" s="2"/>
      <c r="O14" s="1" t="s">
        <v>54</v>
      </c>
      <c r="P14" s="40">
        <v>0</v>
      </c>
    </row>
    <row r="15" spans="2:16" ht="15.75" thickBot="1" x14ac:dyDescent="0.3">
      <c r="B15" s="1"/>
      <c r="C15" s="2"/>
      <c r="E15" s="1" t="s">
        <v>28</v>
      </c>
      <c r="F15" s="6" t="e">
        <f>F10*H15</f>
        <v>#REF!</v>
      </c>
      <c r="G15" s="4"/>
      <c r="H15" s="12" t="e">
        <f>C21</f>
        <v>#REF!</v>
      </c>
      <c r="J15" s="1"/>
      <c r="M15" s="2"/>
      <c r="O15" s="1"/>
      <c r="P15" s="36" t="e">
        <f>SUM(P11:P14)</f>
        <v>#REF!</v>
      </c>
    </row>
    <row r="16" spans="2:16" x14ac:dyDescent="0.25">
      <c r="B16" s="31" t="s">
        <v>55</v>
      </c>
      <c r="C16" s="2"/>
      <c r="E16" s="1" t="s">
        <v>29</v>
      </c>
      <c r="F16" s="4" t="e">
        <f>F10*H16</f>
        <v>#REF!</v>
      </c>
      <c r="G16" s="4"/>
      <c r="H16" s="12" t="e">
        <f>C22</f>
        <v>#REF!</v>
      </c>
      <c r="J16" s="1"/>
      <c r="M16" s="2"/>
      <c r="O16" s="1"/>
      <c r="P16" s="2"/>
    </row>
    <row r="17" spans="2:18" x14ac:dyDescent="0.25">
      <c r="B17" s="1" t="s">
        <v>56</v>
      </c>
      <c r="C17" s="35" t="e">
        <f>#REF!/2</f>
        <v>#REF!</v>
      </c>
      <c r="E17" s="1" t="s">
        <v>30</v>
      </c>
      <c r="F17" s="6" t="e">
        <f>F16+H17</f>
        <v>#REF!</v>
      </c>
      <c r="G17" s="4"/>
      <c r="H17" s="13" t="e">
        <f>-C14</f>
        <v>#REF!</v>
      </c>
      <c r="J17" s="1"/>
      <c r="M17" s="2"/>
      <c r="O17" s="1" t="s">
        <v>51</v>
      </c>
      <c r="P17" s="2"/>
    </row>
    <row r="18" spans="2:18" x14ac:dyDescent="0.25">
      <c r="B18" s="1" t="s">
        <v>57</v>
      </c>
      <c r="C18" s="35" t="e">
        <f>#REF!/2</f>
        <v>#REF!</v>
      </c>
      <c r="E18" s="1"/>
      <c r="G18" s="4"/>
      <c r="H18" s="2"/>
      <c r="J18" s="1"/>
      <c r="M18" s="2"/>
      <c r="O18" s="1" t="s">
        <v>49</v>
      </c>
      <c r="P18" s="13" t="e">
        <f>F17</f>
        <v>#REF!</v>
      </c>
    </row>
    <row r="19" spans="2:18" x14ac:dyDescent="0.25">
      <c r="B19" s="1"/>
      <c r="C19" s="2"/>
      <c r="E19" s="1" t="s">
        <v>58</v>
      </c>
      <c r="F19" s="6" t="e">
        <f>-(F15-G12)</f>
        <v>#REF!</v>
      </c>
      <c r="G19" s="4"/>
      <c r="H19" s="14"/>
      <c r="J19" s="1"/>
      <c r="M19" s="2"/>
      <c r="O19" s="1" t="s">
        <v>59</v>
      </c>
      <c r="P19" s="13" t="e">
        <f>-F19</f>
        <v>#REF!</v>
      </c>
    </row>
    <row r="20" spans="2:18" x14ac:dyDescent="0.25">
      <c r="B20" s="31" t="s">
        <v>60</v>
      </c>
      <c r="C20" s="2"/>
      <c r="E20" s="1" t="s">
        <v>61</v>
      </c>
      <c r="F20" s="6" t="e">
        <f>-(G13-F17)</f>
        <v>#REF!</v>
      </c>
      <c r="H20" s="14"/>
      <c r="J20" s="1"/>
      <c r="M20" s="2"/>
      <c r="O20" s="1" t="s">
        <v>52</v>
      </c>
      <c r="P20" s="13" t="e">
        <f>K13</f>
        <v>#REF!</v>
      </c>
    </row>
    <row r="21" spans="2:18" ht="15.75" thickBot="1" x14ac:dyDescent="0.3">
      <c r="B21" s="1" t="s">
        <v>109</v>
      </c>
      <c r="C21" s="37" t="e">
        <f>#REF!</f>
        <v>#REF!</v>
      </c>
      <c r="E21" s="1" t="s">
        <v>62</v>
      </c>
      <c r="F21" s="6" t="e">
        <f>-F19</f>
        <v>#REF!</v>
      </c>
      <c r="H21" s="2"/>
      <c r="J21" s="1"/>
      <c r="M21" s="2"/>
      <c r="O21" s="1" t="s">
        <v>54</v>
      </c>
      <c r="P21" s="35">
        <v>0</v>
      </c>
    </row>
    <row r="22" spans="2:18" ht="15.75" thickBot="1" x14ac:dyDescent="0.3">
      <c r="B22" s="3" t="s">
        <v>110</v>
      </c>
      <c r="C22" s="38" t="e">
        <f>#REF!</f>
        <v>#REF!</v>
      </c>
      <c r="E22" s="3" t="s">
        <v>63</v>
      </c>
      <c r="F22" s="39" t="e">
        <f>-F20</f>
        <v>#REF!</v>
      </c>
      <c r="G22" s="7"/>
      <c r="H22" s="17"/>
      <c r="J22" s="3"/>
      <c r="K22" s="7"/>
      <c r="L22" s="7"/>
      <c r="M22" s="17"/>
      <c r="O22" s="3"/>
      <c r="P22" s="36" t="e">
        <f>SUM(P18:P21)</f>
        <v>#REF!</v>
      </c>
      <c r="R22" s="4"/>
    </row>
    <row r="24" spans="2:18" ht="15.75" thickBot="1" x14ac:dyDescent="0.3"/>
    <row r="25" spans="2:18" x14ac:dyDescent="0.25">
      <c r="E25" s="10" t="s">
        <v>64</v>
      </c>
      <c r="F25" s="28"/>
      <c r="G25" s="28"/>
      <c r="H25" s="11"/>
      <c r="J25" s="10" t="s">
        <v>65</v>
      </c>
      <c r="K25" s="28"/>
      <c r="L25" s="28"/>
      <c r="M25" s="18"/>
      <c r="O25" s="10" t="s">
        <v>44</v>
      </c>
      <c r="P25" s="18"/>
    </row>
    <row r="26" spans="2:18" ht="15.75" thickBot="1" x14ac:dyDescent="0.3">
      <c r="E26" s="3"/>
      <c r="F26" s="7"/>
      <c r="G26" s="7"/>
      <c r="H26" s="17"/>
      <c r="J26" s="3"/>
      <c r="K26" s="7"/>
      <c r="L26" s="7"/>
      <c r="M26" s="17"/>
      <c r="O26" s="3"/>
      <c r="P26" s="17"/>
    </row>
    <row r="27" spans="2:18" x14ac:dyDescent="0.25">
      <c r="E27" s="1"/>
      <c r="H27" s="2"/>
      <c r="J27" s="1"/>
      <c r="M27" s="2"/>
      <c r="O27" s="1"/>
      <c r="P27" s="2"/>
    </row>
    <row r="28" spans="2:18" x14ac:dyDescent="0.25">
      <c r="E28" s="1" t="s">
        <v>22</v>
      </c>
      <c r="F28" s="4" t="e">
        <f>F10</f>
        <v>#REF!</v>
      </c>
      <c r="G28" s="4"/>
      <c r="H28" s="2"/>
      <c r="J28" s="1" t="s">
        <v>22</v>
      </c>
      <c r="K28" s="4" t="e">
        <f>C18</f>
        <v>#REF!</v>
      </c>
      <c r="M28" s="2"/>
      <c r="O28" s="1" t="s">
        <v>47</v>
      </c>
      <c r="P28" s="2"/>
    </row>
    <row r="29" spans="2:18" x14ac:dyDescent="0.25">
      <c r="E29" s="1" t="s">
        <v>23</v>
      </c>
      <c r="F29" s="4"/>
      <c r="G29" s="4" t="e">
        <f>F28-C32</f>
        <v>#REF!</v>
      </c>
      <c r="H29" s="2"/>
      <c r="J29" s="1" t="s">
        <v>48</v>
      </c>
      <c r="K29" s="4" t="e">
        <f>K28+L29</f>
        <v>#REF!</v>
      </c>
      <c r="L29" s="4" t="e">
        <f>-C14</f>
        <v>#REF!</v>
      </c>
      <c r="M29" s="2"/>
      <c r="O29" s="1" t="s">
        <v>49</v>
      </c>
      <c r="P29" s="13" t="e">
        <f>F33</f>
        <v>#REF!</v>
      </c>
    </row>
    <row r="30" spans="2:18" x14ac:dyDescent="0.25">
      <c r="E30" s="1" t="s">
        <v>27</v>
      </c>
      <c r="F30" s="4"/>
      <c r="G30" s="4" t="e">
        <f>H30*G29</f>
        <v>#REF!</v>
      </c>
      <c r="H30" s="33" t="e">
        <f>H12</f>
        <v>#REF!</v>
      </c>
      <c r="J30" s="1" t="s">
        <v>28</v>
      </c>
      <c r="K30" s="6" t="e">
        <f>K29*L30</f>
        <v>#REF!</v>
      </c>
      <c r="L30" s="5" t="e">
        <f>H30</f>
        <v>#REF!</v>
      </c>
      <c r="M30" s="2"/>
      <c r="O30" s="1" t="s">
        <v>50</v>
      </c>
      <c r="P30" s="13" t="e">
        <f>F38</f>
        <v>#REF!</v>
      </c>
    </row>
    <row r="31" spans="2:18" x14ac:dyDescent="0.25">
      <c r="E31" s="1" t="s">
        <v>25</v>
      </c>
      <c r="F31" s="4"/>
      <c r="G31" s="4" t="e">
        <f>H31*G29</f>
        <v>#REF!</v>
      </c>
      <c r="H31" s="33" t="e">
        <f>H13</f>
        <v>#REF!</v>
      </c>
      <c r="J31" s="1" t="s">
        <v>51</v>
      </c>
      <c r="K31" s="6" t="e">
        <f>K29*L31</f>
        <v>#REF!</v>
      </c>
      <c r="L31" s="5" t="e">
        <f>H31</f>
        <v>#REF!</v>
      </c>
      <c r="M31" s="2"/>
      <c r="O31" s="1" t="s">
        <v>52</v>
      </c>
      <c r="P31" s="13" t="e">
        <f>K30</f>
        <v>#REF!</v>
      </c>
    </row>
    <row r="32" spans="2:18" ht="15.75" thickBot="1" x14ac:dyDescent="0.3">
      <c r="E32" s="1"/>
      <c r="F32" s="4"/>
      <c r="G32" s="4"/>
      <c r="H32" s="2"/>
      <c r="J32" s="1"/>
      <c r="M32" s="2"/>
      <c r="O32" s="1" t="s">
        <v>54</v>
      </c>
      <c r="P32" s="40">
        <v>0</v>
      </c>
    </row>
    <row r="33" spans="5:16" ht="15.75" thickBot="1" x14ac:dyDescent="0.3">
      <c r="E33" s="1" t="s">
        <v>28</v>
      </c>
      <c r="F33" s="6" t="e">
        <f>F28*H33</f>
        <v>#REF!</v>
      </c>
      <c r="G33" s="4"/>
      <c r="H33" s="12" t="e">
        <f>H15</f>
        <v>#REF!</v>
      </c>
      <c r="J33" s="1"/>
      <c r="M33" s="2"/>
      <c r="O33" s="1"/>
      <c r="P33" s="36" t="e">
        <f>SUM(P29:P32)</f>
        <v>#REF!</v>
      </c>
    </row>
    <row r="34" spans="5:16" x14ac:dyDescent="0.25">
      <c r="E34" s="1" t="s">
        <v>29</v>
      </c>
      <c r="F34" s="4" t="e">
        <f>F28*H34</f>
        <v>#REF!</v>
      </c>
      <c r="G34" s="4"/>
      <c r="H34" s="12" t="e">
        <f>H16</f>
        <v>#REF!</v>
      </c>
      <c r="J34" s="1"/>
      <c r="M34" s="2"/>
      <c r="O34" s="1"/>
      <c r="P34" s="2"/>
    </row>
    <row r="35" spans="5:16" x14ac:dyDescent="0.25">
      <c r="E35" s="1" t="s">
        <v>30</v>
      </c>
      <c r="F35" s="6" t="e">
        <f>F34+H35</f>
        <v>#REF!</v>
      </c>
      <c r="G35" s="4"/>
      <c r="H35" s="13"/>
      <c r="J35" s="1"/>
      <c r="M35" s="2"/>
      <c r="O35" s="1" t="s">
        <v>51</v>
      </c>
      <c r="P35" s="2"/>
    </row>
    <row r="36" spans="5:16" x14ac:dyDescent="0.25">
      <c r="E36" s="1"/>
      <c r="G36" s="4"/>
      <c r="H36" s="2"/>
      <c r="J36" s="1"/>
      <c r="M36" s="2"/>
      <c r="O36" s="1" t="s">
        <v>49</v>
      </c>
      <c r="P36" s="13" t="e">
        <f>F35</f>
        <v>#REF!</v>
      </c>
    </row>
    <row r="37" spans="5:16" x14ac:dyDescent="0.25">
      <c r="E37" s="1" t="s">
        <v>58</v>
      </c>
      <c r="F37" s="6" t="e">
        <f>G30-F33</f>
        <v>#REF!</v>
      </c>
      <c r="G37" s="4"/>
      <c r="H37" s="14"/>
      <c r="J37" s="1"/>
      <c r="M37" s="2"/>
      <c r="O37" s="1" t="s">
        <v>66</v>
      </c>
      <c r="P37" s="13" t="e">
        <f>-F37</f>
        <v>#REF!</v>
      </c>
    </row>
    <row r="38" spans="5:16" x14ac:dyDescent="0.25">
      <c r="E38" s="1" t="s">
        <v>61</v>
      </c>
      <c r="F38" s="6" t="e">
        <f>F35-G31</f>
        <v>#REF!</v>
      </c>
      <c r="H38" s="14"/>
      <c r="J38" s="1"/>
      <c r="M38" s="2"/>
      <c r="O38" s="1" t="s">
        <v>52</v>
      </c>
      <c r="P38" s="13" t="e">
        <f>K31</f>
        <v>#REF!</v>
      </c>
    </row>
    <row r="39" spans="5:16" ht="15.75" thickBot="1" x14ac:dyDescent="0.3">
      <c r="E39" s="1" t="s">
        <v>62</v>
      </c>
      <c r="F39" s="6" t="e">
        <f>-F37</f>
        <v>#REF!</v>
      </c>
      <c r="H39" s="2"/>
      <c r="J39" s="1"/>
      <c r="M39" s="2"/>
      <c r="O39" s="1" t="s">
        <v>54</v>
      </c>
      <c r="P39" s="35">
        <v>0</v>
      </c>
    </row>
    <row r="40" spans="5:16" ht="15.75" thickBot="1" x14ac:dyDescent="0.3">
      <c r="E40" s="3" t="s">
        <v>63</v>
      </c>
      <c r="F40" s="39" t="e">
        <f>-F38</f>
        <v>#REF!</v>
      </c>
      <c r="G40" s="7"/>
      <c r="H40" s="17"/>
      <c r="J40" s="3"/>
      <c r="K40" s="7"/>
      <c r="L40" s="7"/>
      <c r="M40" s="17"/>
      <c r="O40" s="3"/>
      <c r="P40" s="36" t="e">
        <f>SUM(P36:P39)</f>
        <v>#REF!</v>
      </c>
    </row>
    <row r="43" spans="5:16" x14ac:dyDescent="0.25">
      <c r="F43" s="4"/>
    </row>
  </sheetData>
  <sheetProtection password="CBEB" sheet="1" objects="1" scenarios="1" selectLockedCells="1" selectUnlockedCells="1"/>
  <pageMargins left="0.7" right="0.7" top="0.75" bottom="0.75" header="0.3" footer="0.3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c51d41-4e0b-412d-8e19-5d04cf6fcc1e">
      <Terms xmlns="http://schemas.microsoft.com/office/infopath/2007/PartnerControls"/>
    </lcf76f155ced4ddcb4097134ff3c332f>
    <TaxCatchAll xmlns="6b76cab8-ef0f-414b-81ee-805b0e0379d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B75A1E1B44484D9756217B9FA205F3" ma:contentTypeVersion="18" ma:contentTypeDescription="Een nieuw document maken." ma:contentTypeScope="" ma:versionID="6430a4ca374ac4384abd87704a743278">
  <xsd:schema xmlns:xsd="http://www.w3.org/2001/XMLSchema" xmlns:xs="http://www.w3.org/2001/XMLSchema" xmlns:p="http://schemas.microsoft.com/office/2006/metadata/properties" xmlns:ns2="83c51d41-4e0b-412d-8e19-5d04cf6fcc1e" xmlns:ns3="6b76cab8-ef0f-414b-81ee-805b0e0379d8" targetNamespace="http://schemas.microsoft.com/office/2006/metadata/properties" ma:root="true" ma:fieldsID="a79e8c2e640853f7cf43872adf77e688" ns2:_="" ns3:_="">
    <xsd:import namespace="83c51d41-4e0b-412d-8e19-5d04cf6fcc1e"/>
    <xsd:import namespace="6b76cab8-ef0f-414b-81ee-805b0e037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c51d41-4e0b-412d-8e19-5d04cf6fc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223a16ff-aa26-44c7-89f3-51924e11a3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76cab8-ef0f-414b-81ee-805b0e0379d8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e2aaaf8-8aae-46d6-b0fb-9b38d13a4b5c}" ma:internalName="TaxCatchAll" ma:showField="CatchAllData" ma:web="6b76cab8-ef0f-414b-81ee-805b0e037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782B18-4D9D-49FB-92A9-1FB925C1FBD1}">
  <ds:schemaRefs>
    <ds:schemaRef ds:uri="http://schemas.microsoft.com/office/2006/documentManagement/types"/>
    <ds:schemaRef ds:uri="83c51d41-4e0b-412d-8e19-5d04cf6fcc1e"/>
    <ds:schemaRef ds:uri="http://purl.org/dc/dcmitype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6b76cab8-ef0f-414b-81ee-805b0e0379d8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54BB5D5-566A-4196-B1E2-31AFBF2DB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c51d41-4e0b-412d-8e19-5d04cf6fcc1e"/>
    <ds:schemaRef ds:uri="6b76cab8-ef0f-414b-81ee-805b0e0379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A3A9EB-31B0-49FD-A47E-E7B4BD5B034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b6bdbe6-c28b-4509-9f60-3d65d4de0b77}" enabled="0" method="" siteId="{bb6bdbe6-c28b-4509-9f60-3d65d4de0b7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Input parameters</vt:lpstr>
      <vt:lpstr>Hobin Classic 2025</vt:lpstr>
      <vt:lpstr>Uitgebreid VG+VO</vt:lpstr>
      <vt:lpstr>Uitgebreid VG</vt:lpstr>
      <vt:lpstr>Berekening verblijf</vt:lpstr>
      <vt:lpstr>IGAK 2025</vt:lpstr>
      <vt:lpstr>Vergelijking indien kindrek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Wellekens</dc:creator>
  <cp:lastModifiedBy>Helsen Kurt</cp:lastModifiedBy>
  <cp:lastPrinted>2023-10-24T07:11:34Z</cp:lastPrinted>
  <dcterms:created xsi:type="dcterms:W3CDTF">2022-09-22T14:04:14Z</dcterms:created>
  <dcterms:modified xsi:type="dcterms:W3CDTF">2025-05-28T08:39:56Z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0x01010065B75A1E1B44484D9756217B9FA205F3</vt:lpwstr>
  </property>
  <property fmtid="{D5CDD505-2E9C-101B-9397-08002B2CF9AE}" pid="3" name="MediaServiceImageTags">
    <vt:lpwstr/>
  </property>
</Properties>
</file>